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https://etkth.sharepoint.com/teams/su/VMY Tiedostot/Kustannustenjako/EU-virkamiehet/Excel laskenta pohjat/"/>
    </mc:Choice>
  </mc:AlternateContent>
  <xr:revisionPtr revIDLastSave="19" documentId="8_{C95EC01B-6885-4421-B920-777BA7BC7DBE}" xr6:coauthVersionLast="47" xr6:coauthVersionMax="47" xr10:uidLastSave="{F8888998-1443-4CF6-ABD9-4A62F6CE2B8E}"/>
  <bookViews>
    <workbookView xWindow="28680" yWindow="-120" windowWidth="29040" windowHeight="15720" tabRatio="601" activeTab="6" xr2:uid="{00000000-000D-0000-FFFF-FFFF00000000}"/>
  </bookViews>
  <sheets>
    <sheet name="Ohje" sheetId="10" r:id="rId1"/>
    <sheet name="KJ-vuosi" sheetId="2" r:id="rId2"/>
    <sheet name="Emenotiedosto" sheetId="64" r:id="rId3"/>
    <sheet name="poa2024" sheetId="69" r:id="rId4"/>
    <sheet name="poa2023" sheetId="66" r:id="rId5"/>
    <sheet name="poa2022" sheetId="67" r:id="rId6"/>
    <sheet name="Virkamies 1" sheetId="1" r:id="rId7"/>
    <sheet name="Virkamies 2" sheetId="27" r:id="rId8"/>
    <sheet name="Virkamies 3" sheetId="26" r:id="rId9"/>
    <sheet name="Virkamies 4" sheetId="25" r:id="rId10"/>
    <sheet name="Virkamies 5" sheetId="24" r:id="rId11"/>
    <sheet name="Virkamies 6" sheetId="23" r:id="rId12"/>
    <sheet name="Virkamies 7" sheetId="22" r:id="rId13"/>
    <sheet name="Virkamies 8" sheetId="21" r:id="rId14"/>
    <sheet name="Virkamies 9" sheetId="20" r:id="rId15"/>
    <sheet name="Virkamies 10" sheetId="19" r:id="rId16"/>
  </sheets>
  <definedNames>
    <definedName name="aika1">'Virkamies 1'!$AA$3:$AD$14</definedName>
    <definedName name="aika10">'Virkamies 10'!$AA$3:$AD$14</definedName>
    <definedName name="aika2">'Virkamies 2'!$AA$3:$AD$14</definedName>
    <definedName name="aika3">'Virkamies 3'!$AA$3:$AD$14</definedName>
    <definedName name="aika4">'Virkamies 4'!$AA$3:$AD$14</definedName>
    <definedName name="aika5">'Virkamies 5'!$AA$3:$AD$14</definedName>
    <definedName name="aika6">'Virkamies 6'!$AA$3:$AD$14</definedName>
    <definedName name="aika7">'Virkamies 7'!$AA$3:$AD$14</definedName>
    <definedName name="aika8">'Virkamies 8'!$AA$3:$AD$14</definedName>
    <definedName name="aika9">'Virkamies 9'!$AA$3:$AD$14</definedName>
    <definedName name="aikaYEL1">'Virkamies 1'!$AA$22:$AD$33</definedName>
    <definedName name="aikaYEL10">'Virkamies 10'!$AA$22:$AD$33</definedName>
    <definedName name="aikaYEL2">'Virkamies 2'!$AA$22:$AD$33</definedName>
    <definedName name="aikaYEL3">'Virkamies 3'!$AA$22:$AD$33</definedName>
    <definedName name="aikaYEL4">'Virkamies 4'!$AA$22:$AD$33</definedName>
    <definedName name="aikaYEL5">'Virkamies 5'!$AA$22:$AD$33</definedName>
    <definedName name="aikaYEL6">'Virkamies 6'!$AA$22:$AD$33</definedName>
    <definedName name="aikaYEL7">'Virkamies 7'!$AA$22:$AD$33</definedName>
    <definedName name="aikaYEL8">'Virkamies 8'!$AA$22:$AD$33</definedName>
    <definedName name="aikaYEL9">'Virkamies 9'!$AA$22:$AD$33</definedName>
    <definedName name="lisäturva1">'poa2023'!$B$62:$E$114</definedName>
    <definedName name="lisäturva2">'poa2022'!$B$62:$E$114</definedName>
    <definedName name="perusturva1">'poa2023'!$B$5:$C$57</definedName>
    <definedName name="perusturva2">'poa2022'!$B$5:$C$57</definedName>
    <definedName name="_xlnm.Print_Area" localSheetId="6">'Virkamies 1'!$A$1:$I$87</definedName>
    <definedName name="vastuunjako1">'poa2023'!$F$5:$I$57</definedName>
    <definedName name="vastuunjako2">'poa2022'!$F$5:$I$57</definedName>
    <definedName name="vuosi">'poa2024'!$B$2</definedName>
    <definedName name="vuosi1">'poa2023'!$B$2</definedName>
    <definedName name="vuosi2">'poa2022'!$B$2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27" l="1"/>
  <c r="C74" i="26"/>
  <c r="C74" i="25"/>
  <c r="C74" i="24"/>
  <c r="C74" i="23"/>
  <c r="C74" i="22"/>
  <c r="C74" i="20"/>
  <c r="C74" i="21"/>
  <c r="C74" i="19"/>
  <c r="AB31" i="23" l="1"/>
  <c r="AC31" i="23"/>
  <c r="AB32" i="23"/>
  <c r="AC32" i="23"/>
  <c r="AB33" i="23"/>
  <c r="AC33" i="23"/>
  <c r="AB9" i="19"/>
  <c r="D74" i="19" l="1"/>
  <c r="D66" i="19"/>
  <c r="C66" i="19"/>
  <c r="D58" i="19"/>
  <c r="C58" i="19"/>
  <c r="D50" i="19"/>
  <c r="C50" i="19"/>
  <c r="D74" i="20"/>
  <c r="D66" i="20"/>
  <c r="C66" i="20"/>
  <c r="D58" i="20"/>
  <c r="C58" i="20"/>
  <c r="D50" i="20"/>
  <c r="C50" i="20"/>
  <c r="D74" i="21"/>
  <c r="D66" i="21"/>
  <c r="C66" i="21"/>
  <c r="D58" i="21"/>
  <c r="C58" i="21"/>
  <c r="D50" i="21"/>
  <c r="C50" i="21"/>
  <c r="D74" i="22"/>
  <c r="D66" i="22"/>
  <c r="C66" i="22"/>
  <c r="D58" i="22"/>
  <c r="C58" i="22"/>
  <c r="D50" i="22"/>
  <c r="C50" i="22"/>
  <c r="D74" i="23"/>
  <c r="D66" i="23"/>
  <c r="C66" i="23"/>
  <c r="D58" i="23"/>
  <c r="C58" i="23"/>
  <c r="D50" i="23"/>
  <c r="C50" i="23"/>
  <c r="D74" i="24"/>
  <c r="D66" i="24"/>
  <c r="C66" i="24"/>
  <c r="D58" i="24"/>
  <c r="C58" i="24"/>
  <c r="D50" i="24"/>
  <c r="C50" i="24"/>
  <c r="D74" i="25"/>
  <c r="D66" i="25"/>
  <c r="C66" i="25"/>
  <c r="D58" i="25"/>
  <c r="C58" i="25"/>
  <c r="D74" i="27"/>
  <c r="D66" i="27"/>
  <c r="C66" i="27"/>
  <c r="D58" i="27"/>
  <c r="C58" i="27"/>
  <c r="D50" i="27"/>
  <c r="C50" i="27"/>
  <c r="D50" i="25" l="1"/>
  <c r="C50" i="25"/>
  <c r="AB33" i="24"/>
  <c r="AB32" i="24"/>
  <c r="AB31" i="24"/>
  <c r="AB30" i="24"/>
  <c r="AB29" i="24"/>
  <c r="AB28" i="24"/>
  <c r="AB30" i="23"/>
  <c r="AB29" i="23"/>
  <c r="AB28" i="23"/>
  <c r="AB33" i="22"/>
  <c r="AB32" i="22"/>
  <c r="AB31" i="22"/>
  <c r="AB30" i="22"/>
  <c r="AB29" i="22"/>
  <c r="AB28" i="22"/>
  <c r="AB33" i="21"/>
  <c r="AB32" i="21"/>
  <c r="AB31" i="21"/>
  <c r="AB30" i="21"/>
  <c r="AB29" i="21"/>
  <c r="AB28" i="21"/>
  <c r="AB33" i="20"/>
  <c r="AB32" i="20"/>
  <c r="AB31" i="20"/>
  <c r="AB30" i="20"/>
  <c r="AB29" i="20"/>
  <c r="AB28" i="20"/>
  <c r="AB33" i="19"/>
  <c r="AB32" i="19"/>
  <c r="AB31" i="19"/>
  <c r="AB30" i="19"/>
  <c r="AB29" i="19"/>
  <c r="AB28" i="19"/>
  <c r="AB27" i="19"/>
  <c r="AB26" i="19"/>
  <c r="AB25" i="19"/>
  <c r="AB24" i="19"/>
  <c r="AB23" i="19"/>
  <c r="AB22" i="19"/>
  <c r="AB27" i="20"/>
  <c r="AB26" i="20"/>
  <c r="AB25" i="20"/>
  <c r="AB24" i="20"/>
  <c r="AB23" i="20"/>
  <c r="AB22" i="20"/>
  <c r="AB27" i="21"/>
  <c r="AB26" i="21"/>
  <c r="AB25" i="21"/>
  <c r="AB24" i="21"/>
  <c r="AB23" i="21"/>
  <c r="AB22" i="21"/>
  <c r="AB27" i="22"/>
  <c r="AB26" i="22"/>
  <c r="AB25" i="22"/>
  <c r="AB24" i="22"/>
  <c r="AB23" i="22"/>
  <c r="AB22" i="22"/>
  <c r="AB27" i="23"/>
  <c r="AB26" i="23"/>
  <c r="AB25" i="23"/>
  <c r="AB24" i="23"/>
  <c r="AB23" i="23"/>
  <c r="AB22" i="23"/>
  <c r="AB27" i="24"/>
  <c r="AB26" i="24"/>
  <c r="AB25" i="24"/>
  <c r="AB24" i="24"/>
  <c r="AB23" i="24"/>
  <c r="AB22" i="24"/>
  <c r="AB33" i="25"/>
  <c r="AB32" i="25"/>
  <c r="AB31" i="25"/>
  <c r="AB30" i="25"/>
  <c r="AB29" i="25"/>
  <c r="AB28" i="25"/>
  <c r="AB27" i="25"/>
  <c r="AB26" i="25"/>
  <c r="AB25" i="25"/>
  <c r="AB24" i="25"/>
  <c r="AB23" i="25"/>
  <c r="AB22" i="25"/>
  <c r="AB33" i="26"/>
  <c r="AB32" i="26"/>
  <c r="AB31" i="26"/>
  <c r="AB30" i="26"/>
  <c r="AB29" i="26"/>
  <c r="AB28" i="26"/>
  <c r="AB33" i="27"/>
  <c r="AB32" i="27"/>
  <c r="AB31" i="27"/>
  <c r="AB30" i="27"/>
  <c r="AB29" i="27"/>
  <c r="AB28" i="27"/>
  <c r="AB27" i="26"/>
  <c r="AB26" i="26"/>
  <c r="AB25" i="26"/>
  <c r="AB24" i="26"/>
  <c r="AB23" i="26"/>
  <c r="AB22" i="26"/>
  <c r="AB27" i="27"/>
  <c r="AB26" i="27"/>
  <c r="AB25" i="27"/>
  <c r="AB24" i="27"/>
  <c r="AB23" i="27"/>
  <c r="AB22" i="27"/>
  <c r="AC8" i="27"/>
  <c r="AD7" i="27" s="1"/>
  <c r="AB8" i="27"/>
  <c r="AC7" i="27"/>
  <c r="AB7" i="27"/>
  <c r="AC6" i="27"/>
  <c r="AB6" i="27"/>
  <c r="AC5" i="27"/>
  <c r="AB5" i="27"/>
  <c r="AC4" i="27"/>
  <c r="AB4" i="27"/>
  <c r="AC3" i="27"/>
  <c r="AB3" i="27"/>
  <c r="AD6" i="27" l="1"/>
  <c r="AD5" i="27"/>
  <c r="AD4" i="27" s="1"/>
  <c r="AD3" i="27" s="1"/>
  <c r="D74" i="26"/>
  <c r="D66" i="26"/>
  <c r="C66" i="26"/>
  <c r="D58" i="26"/>
  <c r="C58" i="26"/>
  <c r="D50" i="26"/>
  <c r="C50" i="26"/>
  <c r="D50" i="1"/>
  <c r="C50" i="1"/>
  <c r="D58" i="1"/>
  <c r="C58" i="1"/>
  <c r="D74" i="1"/>
  <c r="C74" i="1"/>
  <c r="C66" i="1"/>
  <c r="D66" i="1"/>
  <c r="D40" i="19"/>
  <c r="D40" i="20"/>
  <c r="D40" i="21"/>
  <c r="D40" i="22"/>
  <c r="D40" i="23"/>
  <c r="D40" i="24"/>
  <c r="D40" i="25"/>
  <c r="D40" i="26"/>
  <c r="D40" i="27"/>
  <c r="D40" i="1"/>
  <c r="C70" i="19" l="1"/>
  <c r="C52" i="19"/>
  <c r="C76" i="19"/>
  <c r="C69" i="19"/>
  <c r="C84" i="19"/>
  <c r="C68" i="19"/>
  <c r="C53" i="19"/>
  <c r="C82" i="19"/>
  <c r="C62" i="19"/>
  <c r="C80" i="19"/>
  <c r="C61" i="19"/>
  <c r="C78" i="19"/>
  <c r="C60" i="19"/>
  <c r="C77" i="19"/>
  <c r="C54" i="19"/>
  <c r="C69" i="20"/>
  <c r="C84" i="20"/>
  <c r="C68" i="20"/>
  <c r="C52" i="20"/>
  <c r="C82" i="20"/>
  <c r="C62" i="20"/>
  <c r="C80" i="20"/>
  <c r="C61" i="20"/>
  <c r="C78" i="20"/>
  <c r="C60" i="20"/>
  <c r="C53" i="20"/>
  <c r="C77" i="20"/>
  <c r="C54" i="20"/>
  <c r="C76" i="20"/>
  <c r="C70" i="20"/>
  <c r="C84" i="21"/>
  <c r="C68" i="21"/>
  <c r="C82" i="21"/>
  <c r="C62" i="21"/>
  <c r="C80" i="21"/>
  <c r="C61" i="21"/>
  <c r="C78" i="21"/>
  <c r="C60" i="21"/>
  <c r="C77" i="21"/>
  <c r="C54" i="21"/>
  <c r="C76" i="21"/>
  <c r="C53" i="21"/>
  <c r="C70" i="21"/>
  <c r="C52" i="21"/>
  <c r="C69" i="21"/>
  <c r="C82" i="22"/>
  <c r="C62" i="22"/>
  <c r="C80" i="22"/>
  <c r="C61" i="22"/>
  <c r="C78" i="22"/>
  <c r="C60" i="22"/>
  <c r="C77" i="22"/>
  <c r="C54" i="22"/>
  <c r="C76" i="22"/>
  <c r="C53" i="22"/>
  <c r="C70" i="22"/>
  <c r="C52" i="22"/>
  <c r="C69" i="22"/>
  <c r="C84" i="22"/>
  <c r="C68" i="22"/>
  <c r="C80" i="23"/>
  <c r="C61" i="23"/>
  <c r="C78" i="23"/>
  <c r="C60" i="23"/>
  <c r="C77" i="23"/>
  <c r="C54" i="23"/>
  <c r="C76" i="23"/>
  <c r="C53" i="23"/>
  <c r="C70" i="23"/>
  <c r="C52" i="23"/>
  <c r="C69" i="23"/>
  <c r="C84" i="23"/>
  <c r="C68" i="23"/>
  <c r="C82" i="23"/>
  <c r="C62" i="23"/>
  <c r="C78" i="24"/>
  <c r="C60" i="24"/>
  <c r="C77" i="24"/>
  <c r="C54" i="24"/>
  <c r="C76" i="24"/>
  <c r="C53" i="24"/>
  <c r="C84" i="24"/>
  <c r="C70" i="24"/>
  <c r="C52" i="24"/>
  <c r="C69" i="24"/>
  <c r="C68" i="24"/>
  <c r="C82" i="24"/>
  <c r="C62" i="24"/>
  <c r="C80" i="24"/>
  <c r="C61" i="24"/>
  <c r="C77" i="25"/>
  <c r="C54" i="25"/>
  <c r="C82" i="25"/>
  <c r="C76" i="25"/>
  <c r="C53" i="25"/>
  <c r="C70" i="25"/>
  <c r="C52" i="25"/>
  <c r="C69" i="25"/>
  <c r="C62" i="25"/>
  <c r="C84" i="25"/>
  <c r="C68" i="25"/>
  <c r="C80" i="25"/>
  <c r="C61" i="25"/>
  <c r="C78" i="25"/>
  <c r="C60" i="25"/>
  <c r="C76" i="26"/>
  <c r="C53" i="26"/>
  <c r="C70" i="26"/>
  <c r="C52" i="26"/>
  <c r="C69" i="26"/>
  <c r="C84" i="26"/>
  <c r="C68" i="26"/>
  <c r="C82" i="26"/>
  <c r="C62" i="26"/>
  <c r="C54" i="26"/>
  <c r="C80" i="26"/>
  <c r="C61" i="26"/>
  <c r="C78" i="26"/>
  <c r="C60" i="26"/>
  <c r="C77" i="26"/>
  <c r="C70" i="27"/>
  <c r="C52" i="27"/>
  <c r="C69" i="27"/>
  <c r="C84" i="27"/>
  <c r="C68" i="27"/>
  <c r="C62" i="27"/>
  <c r="C61" i="27"/>
  <c r="C60" i="27"/>
  <c r="C53" i="27"/>
  <c r="C82" i="27"/>
  <c r="C80" i="27"/>
  <c r="C78" i="27"/>
  <c r="C76" i="27"/>
  <c r="C77" i="27"/>
  <c r="C54" i="27"/>
  <c r="C76" i="1"/>
  <c r="C53" i="1"/>
  <c r="D53" i="1" s="1"/>
  <c r="C70" i="1"/>
  <c r="C69" i="1"/>
  <c r="C68" i="1"/>
  <c r="C62" i="1"/>
  <c r="C61" i="1"/>
  <c r="C60" i="1"/>
  <c r="C54" i="1"/>
  <c r="D54" i="1" s="1"/>
  <c r="C52" i="1"/>
  <c r="D52" i="1" s="1"/>
  <c r="C84" i="1"/>
  <c r="C82" i="1"/>
  <c r="D82" i="1" s="1"/>
  <c r="C80" i="1"/>
  <c r="D80" i="1" s="1"/>
  <c r="C78" i="1"/>
  <c r="C77" i="1"/>
  <c r="C67" i="22" l="1"/>
  <c r="C67" i="21"/>
  <c r="C51" i="1"/>
  <c r="C75" i="20"/>
  <c r="C67" i="24"/>
  <c r="C67" i="20"/>
  <c r="C59" i="27"/>
  <c r="C75" i="26"/>
  <c r="C59" i="21"/>
  <c r="C75" i="27"/>
  <c r="C67" i="19"/>
  <c r="C75" i="19"/>
  <c r="C51" i="20"/>
  <c r="C75" i="23"/>
  <c r="C59" i="24"/>
  <c r="C51" i="24"/>
  <c r="C75" i="24"/>
  <c r="C59" i="23"/>
  <c r="C51" i="23"/>
  <c r="C67" i="23"/>
  <c r="C51" i="21"/>
  <c r="C59" i="19"/>
  <c r="C51" i="19"/>
  <c r="C59" i="20"/>
  <c r="C75" i="21"/>
  <c r="C75" i="22"/>
  <c r="C51" i="22"/>
  <c r="C59" i="22"/>
  <c r="C59" i="25"/>
  <c r="C67" i="26"/>
  <c r="C51" i="26"/>
  <c r="C59" i="26"/>
  <c r="C67" i="1"/>
  <c r="C75" i="25"/>
  <c r="C67" i="25"/>
  <c r="C51" i="25"/>
  <c r="D41" i="19"/>
  <c r="E74" i="19" l="1"/>
  <c r="E50" i="19"/>
  <c r="E66" i="19"/>
  <c r="E58" i="19"/>
  <c r="AC33" i="20"/>
  <c r="AC32" i="20"/>
  <c r="AC31" i="20"/>
  <c r="AC30" i="20"/>
  <c r="AC29" i="20"/>
  <c r="AC28" i="20"/>
  <c r="AD29" i="20" s="1"/>
  <c r="AD30" i="20" s="1"/>
  <c r="AC27" i="20"/>
  <c r="AD26" i="20" s="1"/>
  <c r="AC26" i="20"/>
  <c r="AC25" i="20"/>
  <c r="AC24" i="20"/>
  <c r="AC23" i="20"/>
  <c r="AC22" i="20"/>
  <c r="AC33" i="21"/>
  <c r="AC32" i="21"/>
  <c r="AC31" i="21"/>
  <c r="AC30" i="21"/>
  <c r="AC29" i="21"/>
  <c r="AC28" i="21"/>
  <c r="AD29" i="21" s="1"/>
  <c r="AC27" i="21"/>
  <c r="AD26" i="21" s="1"/>
  <c r="AC26" i="21"/>
  <c r="AC25" i="21"/>
  <c r="AC24" i="21"/>
  <c r="AC23" i="21"/>
  <c r="AC22" i="21"/>
  <c r="AC33" i="22"/>
  <c r="AC32" i="22"/>
  <c r="AC31" i="22"/>
  <c r="AC30" i="22"/>
  <c r="AC29" i="22"/>
  <c r="AC28" i="22"/>
  <c r="AD29" i="22" s="1"/>
  <c r="AC27" i="22"/>
  <c r="AD26" i="22" s="1"/>
  <c r="AC26" i="22"/>
  <c r="AC25" i="22"/>
  <c r="AC24" i="22"/>
  <c r="AC23" i="22"/>
  <c r="AC22" i="22"/>
  <c r="AC30" i="23"/>
  <c r="AC29" i="23"/>
  <c r="AC28" i="23"/>
  <c r="AD29" i="23" s="1"/>
  <c r="AC27" i="23"/>
  <c r="AD26" i="23" s="1"/>
  <c r="AC26" i="23"/>
  <c r="AC25" i="23"/>
  <c r="AC24" i="23"/>
  <c r="AC23" i="23"/>
  <c r="AC22" i="23"/>
  <c r="AC33" i="24"/>
  <c r="AC32" i="24"/>
  <c r="AC31" i="24"/>
  <c r="AC30" i="24"/>
  <c r="AC29" i="24"/>
  <c r="AC28" i="24"/>
  <c r="AD29" i="24" s="1"/>
  <c r="AD30" i="24" s="1"/>
  <c r="AD31" i="24" s="1"/>
  <c r="AD32" i="24" s="1"/>
  <c r="AD33" i="24" s="1"/>
  <c r="AC27" i="24"/>
  <c r="AD26" i="24" s="1"/>
  <c r="AC26" i="24"/>
  <c r="AC25" i="24"/>
  <c r="AC24" i="24"/>
  <c r="AC23" i="24"/>
  <c r="AC22" i="24"/>
  <c r="AC33" i="25"/>
  <c r="AC32" i="25"/>
  <c r="AC31" i="25"/>
  <c r="AC30" i="25"/>
  <c r="AC29" i="25"/>
  <c r="AC28" i="25"/>
  <c r="AD29" i="25" s="1"/>
  <c r="AC27" i="25"/>
  <c r="AD26" i="25"/>
  <c r="AC26" i="25"/>
  <c r="AC25" i="25"/>
  <c r="AC24" i="25"/>
  <c r="AC23" i="25"/>
  <c r="AC22" i="25"/>
  <c r="AC29" i="26"/>
  <c r="AC28" i="26"/>
  <c r="AD29" i="26" s="1"/>
  <c r="AD30" i="26" s="1"/>
  <c r="AC27" i="26"/>
  <c r="AD26" i="26" s="1"/>
  <c r="AC33" i="27"/>
  <c r="AC32" i="27"/>
  <c r="AC31" i="27"/>
  <c r="AC30" i="27"/>
  <c r="AC29" i="27"/>
  <c r="AC28" i="27"/>
  <c r="AD29" i="27" s="1"/>
  <c r="AC27" i="27"/>
  <c r="AD26" i="27" s="1"/>
  <c r="AC26" i="27"/>
  <c r="AC25" i="27"/>
  <c r="AC24" i="27"/>
  <c r="AC23" i="27"/>
  <c r="AC22" i="27"/>
  <c r="AC29" i="19"/>
  <c r="AC28" i="19"/>
  <c r="AD29" i="19" s="1"/>
  <c r="AC27" i="19"/>
  <c r="AD26" i="19" s="1"/>
  <c r="AC23" i="19"/>
  <c r="AC24" i="19"/>
  <c r="AC25" i="19"/>
  <c r="AC26" i="19"/>
  <c r="AC30" i="19"/>
  <c r="AC31" i="19"/>
  <c r="AC32" i="19"/>
  <c r="AC33" i="19"/>
  <c r="AC14" i="19"/>
  <c r="AC13" i="19"/>
  <c r="AC12" i="19"/>
  <c r="AC11" i="19"/>
  <c r="AC10" i="19"/>
  <c r="AC9" i="19"/>
  <c r="AD10" i="19" s="1"/>
  <c r="AC8" i="19"/>
  <c r="AD7" i="19" s="1"/>
  <c r="AC7" i="19"/>
  <c r="AC6" i="19"/>
  <c r="AC5" i="19"/>
  <c r="AC4" i="19"/>
  <c r="AC3" i="19"/>
  <c r="AD25" i="24" l="1"/>
  <c r="AD25" i="22"/>
  <c r="AD24" i="22" s="1"/>
  <c r="AD23" i="22" s="1"/>
  <c r="AD22" i="22" s="1"/>
  <c r="AD31" i="20"/>
  <c r="AD32" i="20" s="1"/>
  <c r="AD33" i="20" s="1"/>
  <c r="AD30" i="25"/>
  <c r="AD31" i="25" s="1"/>
  <c r="AD32" i="25" s="1"/>
  <c r="AD33" i="25" s="1"/>
  <c r="AD30" i="27"/>
  <c r="AD31" i="27" s="1"/>
  <c r="AD32" i="27" s="1"/>
  <c r="AD33" i="27" s="1"/>
  <c r="AD25" i="20"/>
  <c r="AD24" i="20" s="1"/>
  <c r="AD23" i="20" s="1"/>
  <c r="AD22" i="20" s="1"/>
  <c r="AD30" i="21"/>
  <c r="AD31" i="21" s="1"/>
  <c r="AD32" i="21" s="1"/>
  <c r="AD33" i="21" s="1"/>
  <c r="AD25" i="21"/>
  <c r="AD24" i="21" s="1"/>
  <c r="AD23" i="21" s="1"/>
  <c r="AD22" i="21" s="1"/>
  <c r="AD30" i="22"/>
  <c r="AD31" i="22" s="1"/>
  <c r="AD32" i="22" s="1"/>
  <c r="AD33" i="22" s="1"/>
  <c r="AD25" i="23"/>
  <c r="AD24" i="23" s="1"/>
  <c r="AD23" i="23" s="1"/>
  <c r="AD22" i="23" s="1"/>
  <c r="AD30" i="23"/>
  <c r="AD31" i="23" s="1"/>
  <c r="AD32" i="23" s="1"/>
  <c r="AD33" i="23" s="1"/>
  <c r="AD24" i="24"/>
  <c r="AD23" i="24" s="1"/>
  <c r="AD22" i="24" s="1"/>
  <c r="AD25" i="25"/>
  <c r="AD24" i="25" s="1"/>
  <c r="AD23" i="25" s="1"/>
  <c r="AD22" i="25" s="1"/>
  <c r="AD25" i="27"/>
  <c r="AD24" i="27" s="1"/>
  <c r="AD23" i="27" s="1"/>
  <c r="AD22" i="27" s="1"/>
  <c r="AD30" i="19"/>
  <c r="AD31" i="19" s="1"/>
  <c r="AD32" i="19" s="1"/>
  <c r="AD33" i="19" s="1"/>
  <c r="AD25" i="19"/>
  <c r="AD24" i="19" s="1"/>
  <c r="AD23" i="19" s="1"/>
  <c r="AD22" i="19" s="1"/>
  <c r="AD11" i="19"/>
  <c r="AD12" i="19" s="1"/>
  <c r="AD13" i="19" s="1"/>
  <c r="AD14" i="19" s="1"/>
  <c r="AD6" i="19"/>
  <c r="AD5" i="19" s="1"/>
  <c r="AD4" i="19" s="1"/>
  <c r="AD3" i="19" s="1"/>
  <c r="AB29" i="1"/>
  <c r="AB28" i="1"/>
  <c r="AC29" i="1"/>
  <c r="AC28" i="1"/>
  <c r="AD29" i="1" s="1"/>
  <c r="AD30" i="1" s="1"/>
  <c r="AC27" i="1"/>
  <c r="AD26" i="1" s="1"/>
  <c r="AB27" i="1"/>
  <c r="F28" i="1" l="1"/>
  <c r="F28" i="19" l="1"/>
  <c r="F28" i="20"/>
  <c r="F28" i="21"/>
  <c r="F28" i="22"/>
  <c r="F28" i="23"/>
  <c r="F28" i="24"/>
  <c r="F28" i="25"/>
  <c r="F28" i="26"/>
  <c r="F28" i="27"/>
  <c r="AB3" i="25"/>
  <c r="AB3" i="19"/>
  <c r="AB3" i="26"/>
  <c r="AB3" i="24"/>
  <c r="AB3" i="23"/>
  <c r="AB3" i="22"/>
  <c r="AB3" i="21"/>
  <c r="AB3" i="20"/>
  <c r="AB8" i="22"/>
  <c r="AB6" i="25"/>
  <c r="D41" i="25"/>
  <c r="E46" i="25" s="1"/>
  <c r="AH1" i="26"/>
  <c r="AB10" i="1"/>
  <c r="AH1" i="27"/>
  <c r="AH1" i="1"/>
  <c r="AB22" i="1"/>
  <c r="AC26" i="26"/>
  <c r="AD25" i="26" s="1"/>
  <c r="AB3" i="1"/>
  <c r="AB10" i="27"/>
  <c r="AC7" i="26"/>
  <c r="AC8" i="26"/>
  <c r="AD7" i="26" s="1"/>
  <c r="AB6" i="26"/>
  <c r="AC4" i="25"/>
  <c r="AC5" i="25"/>
  <c r="AC6" i="25"/>
  <c r="AC7" i="25"/>
  <c r="AC8" i="25"/>
  <c r="AD7" i="25" s="1"/>
  <c r="AB10" i="25"/>
  <c r="AC4" i="24"/>
  <c r="AC5" i="24"/>
  <c r="AC6" i="24"/>
  <c r="AC7" i="24"/>
  <c r="AC8" i="24"/>
  <c r="AD7" i="24" s="1"/>
  <c r="AB6" i="24"/>
  <c r="AC4" i="23"/>
  <c r="AC5" i="23"/>
  <c r="AC6" i="23"/>
  <c r="AC7" i="23"/>
  <c r="AC8" i="23"/>
  <c r="AD7" i="23" s="1"/>
  <c r="AD6" i="23" s="1"/>
  <c r="AD5" i="23" s="1"/>
  <c r="AD4" i="23" s="1"/>
  <c r="AD3" i="23" s="1"/>
  <c r="AB8" i="23"/>
  <c r="AC4" i="22"/>
  <c r="AC5" i="22"/>
  <c r="AC6" i="22"/>
  <c r="AC7" i="22"/>
  <c r="AC8" i="22"/>
  <c r="AD7" i="22" s="1"/>
  <c r="AB5" i="22"/>
  <c r="AC4" i="21"/>
  <c r="AC5" i="21"/>
  <c r="AC6" i="21"/>
  <c r="AC7" i="21"/>
  <c r="AC8" i="21"/>
  <c r="AD7" i="21" s="1"/>
  <c r="AD6" i="21" s="1"/>
  <c r="AD5" i="21" s="1"/>
  <c r="AD4" i="21" s="1"/>
  <c r="AB11" i="21"/>
  <c r="AC4" i="20"/>
  <c r="AC5" i="20"/>
  <c r="AC6" i="20"/>
  <c r="AC7" i="20"/>
  <c r="AC8" i="20"/>
  <c r="AD7" i="20" s="1"/>
  <c r="AB8" i="20"/>
  <c r="AB8" i="19"/>
  <c r="AB14" i="26"/>
  <c r="AB13" i="26"/>
  <c r="AB12" i="26"/>
  <c r="AB11" i="26"/>
  <c r="AB10" i="26"/>
  <c r="AB9" i="26"/>
  <c r="AB8" i="26"/>
  <c r="AB7" i="26"/>
  <c r="AB5" i="26"/>
  <c r="AB4" i="26"/>
  <c r="AC4" i="26"/>
  <c r="AC5" i="26"/>
  <c r="AC6" i="26"/>
  <c r="AC23" i="26"/>
  <c r="AC24" i="26"/>
  <c r="AC25" i="26"/>
  <c r="AB32" i="1"/>
  <c r="AC23" i="1"/>
  <c r="AC24" i="1"/>
  <c r="AC25" i="1"/>
  <c r="AC26" i="1"/>
  <c r="AD25" i="1" s="1"/>
  <c r="AB6" i="19"/>
  <c r="D41" i="20"/>
  <c r="AB7" i="20"/>
  <c r="D41" i="21"/>
  <c r="AB7" i="21"/>
  <c r="D41" i="22"/>
  <c r="AB7" i="22"/>
  <c r="D41" i="23"/>
  <c r="D41" i="24"/>
  <c r="AB8" i="24"/>
  <c r="D41" i="26"/>
  <c r="D41" i="27"/>
  <c r="AC4" i="1"/>
  <c r="AC5" i="1"/>
  <c r="AC6" i="1"/>
  <c r="AC7" i="1"/>
  <c r="AC8" i="1"/>
  <c r="AD7" i="1" s="1"/>
  <c r="AB8" i="1"/>
  <c r="AB13" i="1"/>
  <c r="D41" i="1"/>
  <c r="AC22" i="19"/>
  <c r="AH20" i="19"/>
  <c r="AH20" i="20"/>
  <c r="AH20" i="21"/>
  <c r="AH20" i="22"/>
  <c r="AH20" i="23"/>
  <c r="AH20" i="24"/>
  <c r="AH20" i="25"/>
  <c r="AC30" i="26"/>
  <c r="AD31" i="26" s="1"/>
  <c r="AC31" i="26"/>
  <c r="AC32" i="26"/>
  <c r="AC33" i="26"/>
  <c r="AC22" i="26"/>
  <c r="AH20" i="26"/>
  <c r="AH20" i="27"/>
  <c r="AB9" i="1"/>
  <c r="AB14" i="1"/>
  <c r="AB33" i="1"/>
  <c r="AH20" i="1"/>
  <c r="AC33" i="1"/>
  <c r="AC32" i="1"/>
  <c r="AC31" i="1"/>
  <c r="AC30" i="1"/>
  <c r="AD31" i="1" s="1"/>
  <c r="AC22" i="1"/>
  <c r="AB31" i="1"/>
  <c r="AB30" i="1"/>
  <c r="AB26" i="1"/>
  <c r="AB25" i="1"/>
  <c r="AB24" i="1"/>
  <c r="AB23" i="1"/>
  <c r="AB11" i="27"/>
  <c r="AC9" i="26"/>
  <c r="AD10" i="26" s="1"/>
  <c r="AC10" i="26"/>
  <c r="AC11" i="26"/>
  <c r="AC12" i="26"/>
  <c r="AC13" i="26"/>
  <c r="AC14" i="26"/>
  <c r="AC3" i="26"/>
  <c r="AC9" i="27"/>
  <c r="AD10" i="27" s="1"/>
  <c r="AB14" i="27"/>
  <c r="AB13" i="27"/>
  <c r="AB12" i="27"/>
  <c r="AB9" i="27"/>
  <c r="AB14" i="25"/>
  <c r="AB13" i="25"/>
  <c r="AB12" i="25"/>
  <c r="AB11" i="25"/>
  <c r="AB9" i="25"/>
  <c r="AB14" i="24"/>
  <c r="AB13" i="24"/>
  <c r="AB12" i="24"/>
  <c r="AB11" i="24"/>
  <c r="AB10" i="24"/>
  <c r="AB9" i="24"/>
  <c r="AB14" i="23"/>
  <c r="AB13" i="23"/>
  <c r="AB12" i="23"/>
  <c r="AB11" i="23"/>
  <c r="AB10" i="23"/>
  <c r="AB9" i="23"/>
  <c r="AB14" i="22"/>
  <c r="AB13" i="22"/>
  <c r="AB12" i="22"/>
  <c r="AB11" i="22"/>
  <c r="AB10" i="22"/>
  <c r="AB9" i="22"/>
  <c r="AB14" i="21"/>
  <c r="AB13" i="21"/>
  <c r="AB12" i="21"/>
  <c r="AB10" i="21"/>
  <c r="AB9" i="21"/>
  <c r="AB14" i="20"/>
  <c r="AB13" i="20"/>
  <c r="AB12" i="20"/>
  <c r="AB11" i="20"/>
  <c r="AB10" i="20"/>
  <c r="AB9" i="20"/>
  <c r="AB14" i="19"/>
  <c r="AB13" i="19"/>
  <c r="AB12" i="19"/>
  <c r="AB11" i="19"/>
  <c r="AB10" i="19"/>
  <c r="AB7" i="19"/>
  <c r="AB5" i="19"/>
  <c r="AB4" i="19"/>
  <c r="AC9" i="20"/>
  <c r="AD10" i="20" s="1"/>
  <c r="AC10" i="20"/>
  <c r="AC11" i="20"/>
  <c r="AC12" i="20"/>
  <c r="AC13" i="20"/>
  <c r="AC14" i="20"/>
  <c r="AB6" i="20"/>
  <c r="AB5" i="20"/>
  <c r="AB4" i="20"/>
  <c r="AC3" i="20"/>
  <c r="AC9" i="21"/>
  <c r="AD10" i="21" s="1"/>
  <c r="AC10" i="21"/>
  <c r="AC11" i="21"/>
  <c r="AC12" i="21"/>
  <c r="AC13" i="21"/>
  <c r="AC14" i="21"/>
  <c r="AB8" i="21"/>
  <c r="AB6" i="21"/>
  <c r="AB5" i="21"/>
  <c r="AB4" i="21"/>
  <c r="AC3" i="21"/>
  <c r="AC9" i="22"/>
  <c r="AD10" i="22" s="1"/>
  <c r="AC10" i="22"/>
  <c r="AC11" i="22"/>
  <c r="AC12" i="22"/>
  <c r="AC13" i="22"/>
  <c r="AC14" i="22"/>
  <c r="AB6" i="22"/>
  <c r="AB4" i="22"/>
  <c r="AC3" i="22"/>
  <c r="AC9" i="23"/>
  <c r="AD10" i="23" s="1"/>
  <c r="AC10" i="23"/>
  <c r="AC11" i="23"/>
  <c r="AC12" i="23"/>
  <c r="AC13" i="23"/>
  <c r="AC14" i="23"/>
  <c r="AB7" i="23"/>
  <c r="AB6" i="23"/>
  <c r="AB5" i="23"/>
  <c r="AB4" i="23"/>
  <c r="AC3" i="23"/>
  <c r="AC9" i="24"/>
  <c r="AD10" i="24" s="1"/>
  <c r="AC10" i="24"/>
  <c r="AC11" i="24"/>
  <c r="AC12" i="24"/>
  <c r="AC13" i="24"/>
  <c r="AC14" i="24"/>
  <c r="AB7" i="24"/>
  <c r="AB5" i="24"/>
  <c r="AB4" i="24"/>
  <c r="AC3" i="24"/>
  <c r="AC9" i="25"/>
  <c r="AD10" i="25" s="1"/>
  <c r="AC10" i="25"/>
  <c r="AC11" i="25"/>
  <c r="AC12" i="25"/>
  <c r="AC13" i="25"/>
  <c r="AC14" i="25"/>
  <c r="AB8" i="25"/>
  <c r="AB7" i="25"/>
  <c r="AB5" i="25"/>
  <c r="AB4" i="25"/>
  <c r="AC3" i="25"/>
  <c r="AC10" i="27"/>
  <c r="AC11" i="27"/>
  <c r="AC12" i="27"/>
  <c r="AC13" i="27"/>
  <c r="AC14" i="27"/>
  <c r="AB6" i="1"/>
  <c r="AC3" i="1"/>
  <c r="AB4" i="1"/>
  <c r="I54" i="1" s="1"/>
  <c r="AB5" i="1"/>
  <c r="AB7" i="1"/>
  <c r="AC9" i="1"/>
  <c r="AD10" i="1" s="1"/>
  <c r="AC10" i="1"/>
  <c r="AB11" i="1"/>
  <c r="AC11" i="1"/>
  <c r="AB12" i="1"/>
  <c r="AC12" i="1"/>
  <c r="AC13" i="1"/>
  <c r="AC14" i="1"/>
  <c r="AH1" i="19"/>
  <c r="AH1" i="20"/>
  <c r="AH1" i="21"/>
  <c r="AH1" i="22"/>
  <c r="AH1" i="23"/>
  <c r="AH1" i="24"/>
  <c r="AH1" i="25"/>
  <c r="I54" i="22" l="1"/>
  <c r="I54" i="20"/>
  <c r="I54" i="21"/>
  <c r="I54" i="19"/>
  <c r="I54" i="24"/>
  <c r="I54" i="26"/>
  <c r="I54" i="23"/>
  <c r="I54" i="25"/>
  <c r="I54" i="27"/>
  <c r="AD3" i="21"/>
  <c r="AD11" i="23"/>
  <c r="AD12" i="23" s="1"/>
  <c r="AD13" i="23" s="1"/>
  <c r="AD14" i="23" s="1"/>
  <c r="AD11" i="26"/>
  <c r="AD12" i="26" s="1"/>
  <c r="AD13" i="26" s="1"/>
  <c r="AD14" i="26" s="1"/>
  <c r="AD6" i="22"/>
  <c r="AD5" i="22"/>
  <c r="AD4" i="22" s="1"/>
  <c r="AD3" i="22" s="1"/>
  <c r="AD11" i="27"/>
  <c r="AD12" i="27" s="1"/>
  <c r="AD13" i="27" s="1"/>
  <c r="AD14" i="27" s="1"/>
  <c r="AD32" i="1"/>
  <c r="AD33" i="1" s="1"/>
  <c r="E58" i="26"/>
  <c r="E66" i="26"/>
  <c r="E74" i="26"/>
  <c r="E50" i="26"/>
  <c r="AD24" i="1"/>
  <c r="AD23" i="1" s="1"/>
  <c r="AD22" i="1" s="1"/>
  <c r="E74" i="25"/>
  <c r="E66" i="25"/>
  <c r="E58" i="25"/>
  <c r="E50" i="25"/>
  <c r="E74" i="22"/>
  <c r="E50" i="22"/>
  <c r="E66" i="22"/>
  <c r="E58" i="22"/>
  <c r="E74" i="20"/>
  <c r="E50" i="20"/>
  <c r="E66" i="20"/>
  <c r="E58" i="20"/>
  <c r="AD6" i="25"/>
  <c r="AD11" i="24"/>
  <c r="AD12" i="24" s="1"/>
  <c r="AD13" i="24" s="1"/>
  <c r="AD14" i="24" s="1"/>
  <c r="AD11" i="20"/>
  <c r="AD12" i="20" s="1"/>
  <c r="AD13" i="20" s="1"/>
  <c r="AD14" i="20" s="1"/>
  <c r="AD32" i="26"/>
  <c r="AD33" i="26" s="1"/>
  <c r="AD6" i="1"/>
  <c r="AD5" i="1" s="1"/>
  <c r="AD4" i="1" s="1"/>
  <c r="AD3" i="1" s="1"/>
  <c r="E74" i="24"/>
  <c r="E66" i="24"/>
  <c r="E50" i="24"/>
  <c r="E58" i="24"/>
  <c r="AD6" i="24"/>
  <c r="AD6" i="26"/>
  <c r="AD5" i="26" s="1"/>
  <c r="AD4" i="26" s="1"/>
  <c r="AD3" i="26" s="1"/>
  <c r="AD24" i="26"/>
  <c r="AD23" i="26" s="1"/>
  <c r="AD22" i="26" s="1"/>
  <c r="E74" i="1"/>
  <c r="E58" i="1"/>
  <c r="E66" i="1"/>
  <c r="E50" i="1"/>
  <c r="E66" i="27"/>
  <c r="E74" i="27"/>
  <c r="E50" i="27"/>
  <c r="E58" i="27"/>
  <c r="E74" i="23"/>
  <c r="E50" i="23"/>
  <c r="E66" i="23"/>
  <c r="E58" i="23"/>
  <c r="E74" i="21"/>
  <c r="E66" i="21"/>
  <c r="E50" i="21"/>
  <c r="E58" i="21"/>
  <c r="E82" i="1"/>
  <c r="D84" i="19"/>
  <c r="E84" i="19" s="1"/>
  <c r="D82" i="19"/>
  <c r="E82" i="19" s="1"/>
  <c r="D77" i="19"/>
  <c r="E77" i="19" s="1"/>
  <c r="D69" i="19"/>
  <c r="E69" i="19" s="1"/>
  <c r="D61" i="19"/>
  <c r="E61" i="19" s="1"/>
  <c r="D52" i="19"/>
  <c r="E52" i="19" s="1"/>
  <c r="G52" i="19" s="1"/>
  <c r="D76" i="19"/>
  <c r="E76" i="19" s="1"/>
  <c r="D68" i="19"/>
  <c r="D60" i="19"/>
  <c r="E60" i="19" s="1"/>
  <c r="D53" i="19"/>
  <c r="E53" i="19" s="1"/>
  <c r="D84" i="20"/>
  <c r="D82" i="20"/>
  <c r="E82" i="20" s="1"/>
  <c r="D80" i="20"/>
  <c r="D84" i="21"/>
  <c r="E84" i="21" s="1"/>
  <c r="D82" i="21"/>
  <c r="E82" i="21" s="1"/>
  <c r="D80" i="21"/>
  <c r="E80" i="21" s="1"/>
  <c r="D84" i="22"/>
  <c r="D80" i="22"/>
  <c r="D84" i="23"/>
  <c r="E84" i="23" s="1"/>
  <c r="D82" i="23"/>
  <c r="E82" i="23" s="1"/>
  <c r="D84" i="24"/>
  <c r="D82" i="24"/>
  <c r="E82" i="24" s="1"/>
  <c r="D84" i="25"/>
  <c r="D80" i="25"/>
  <c r="D82" i="25"/>
  <c r="E82" i="25" s="1"/>
  <c r="D84" i="26"/>
  <c r="D82" i="26"/>
  <c r="D84" i="1"/>
  <c r="D84" i="27"/>
  <c r="E84" i="27" s="1"/>
  <c r="D68" i="27"/>
  <c r="E68" i="27" s="1"/>
  <c r="D76" i="27"/>
  <c r="E76" i="27" s="1"/>
  <c r="D80" i="27"/>
  <c r="E80" i="27" s="1"/>
  <c r="D82" i="27"/>
  <c r="E82" i="27" s="1"/>
  <c r="D69" i="27"/>
  <c r="D77" i="27"/>
  <c r="D76" i="20"/>
  <c r="D61" i="20"/>
  <c r="D77" i="20"/>
  <c r="D52" i="20"/>
  <c r="D60" i="20"/>
  <c r="D53" i="20"/>
  <c r="D69" i="20"/>
  <c r="E69" i="20" s="1"/>
  <c r="E46" i="20"/>
  <c r="AD6" i="20"/>
  <c r="AD5" i="20" s="1"/>
  <c r="AD4" i="20" s="1"/>
  <c r="AD3" i="20" s="1"/>
  <c r="D76" i="21"/>
  <c r="E76" i="21" s="1"/>
  <c r="D68" i="21"/>
  <c r="E68" i="21" s="1"/>
  <c r="D61" i="21"/>
  <c r="E61" i="21" s="1"/>
  <c r="D53" i="21"/>
  <c r="E53" i="21" s="1"/>
  <c r="D52" i="21"/>
  <c r="E52" i="21" s="1"/>
  <c r="D77" i="21"/>
  <c r="E77" i="21" s="1"/>
  <c r="D69" i="21"/>
  <c r="E69" i="21" s="1"/>
  <c r="AD11" i="21"/>
  <c r="AD12" i="21" s="1"/>
  <c r="AD13" i="21" s="1"/>
  <c r="AD14" i="21" s="1"/>
  <c r="AD5" i="24"/>
  <c r="AD4" i="24" s="1"/>
  <c r="AD3" i="24" s="1"/>
  <c r="D77" i="22"/>
  <c r="D69" i="22"/>
  <c r="E69" i="22" s="1"/>
  <c r="D76" i="22"/>
  <c r="D53" i="22"/>
  <c r="D60" i="22"/>
  <c r="D52" i="22"/>
  <c r="D68" i="22"/>
  <c r="E68" i="22" s="1"/>
  <c r="D61" i="22"/>
  <c r="AD11" i="22"/>
  <c r="AD12" i="22" s="1"/>
  <c r="AD13" i="22" s="1"/>
  <c r="AD14" i="22" s="1"/>
  <c r="D77" i="23"/>
  <c r="E77" i="23" s="1"/>
  <c r="D69" i="23"/>
  <c r="E69" i="23" s="1"/>
  <c r="D76" i="23"/>
  <c r="E76" i="23" s="1"/>
  <c r="D68" i="23"/>
  <c r="E68" i="23" s="1"/>
  <c r="D61" i="23"/>
  <c r="E61" i="23" s="1"/>
  <c r="D53" i="23"/>
  <c r="E53" i="23" s="1"/>
  <c r="D60" i="23"/>
  <c r="E60" i="23" s="1"/>
  <c r="D52" i="23"/>
  <c r="E52" i="23" s="1"/>
  <c r="D77" i="24"/>
  <c r="D69" i="24"/>
  <c r="E69" i="24" s="1"/>
  <c r="D76" i="24"/>
  <c r="D68" i="24"/>
  <c r="E68" i="24" s="1"/>
  <c r="D61" i="24"/>
  <c r="D53" i="24"/>
  <c r="D60" i="24"/>
  <c r="E60" i="24" s="1"/>
  <c r="D52" i="24"/>
  <c r="D68" i="25"/>
  <c r="E68" i="25" s="1"/>
  <c r="D60" i="25"/>
  <c r="D77" i="25"/>
  <c r="D69" i="25"/>
  <c r="E69" i="25" s="1"/>
  <c r="D53" i="25"/>
  <c r="D76" i="25"/>
  <c r="D61" i="25"/>
  <c r="D52" i="25"/>
  <c r="AD5" i="25"/>
  <c r="AD4" i="25" s="1"/>
  <c r="AD3" i="25" s="1"/>
  <c r="AD11" i="25"/>
  <c r="AD12" i="25" s="1"/>
  <c r="AD13" i="25" s="1"/>
  <c r="AD14" i="25" s="1"/>
  <c r="D76" i="26"/>
  <c r="D68" i="26"/>
  <c r="D61" i="26"/>
  <c r="D53" i="26"/>
  <c r="D77" i="26"/>
  <c r="E77" i="26" s="1"/>
  <c r="D60" i="26"/>
  <c r="D52" i="26"/>
  <c r="D69" i="26"/>
  <c r="E69" i="26" s="1"/>
  <c r="D52" i="27"/>
  <c r="E52" i="27" s="1"/>
  <c r="D61" i="27"/>
  <c r="D53" i="27"/>
  <c r="D60" i="27"/>
  <c r="E60" i="27" s="1"/>
  <c r="E46" i="22"/>
  <c r="D76" i="1"/>
  <c r="D69" i="1"/>
  <c r="E69" i="1" s="1"/>
  <c r="D60" i="1"/>
  <c r="D68" i="1"/>
  <c r="D77" i="1"/>
  <c r="E46" i="26"/>
  <c r="E46" i="27"/>
  <c r="E46" i="21"/>
  <c r="E46" i="23"/>
  <c r="E46" i="1"/>
  <c r="E46" i="19"/>
  <c r="E46" i="24"/>
  <c r="AD11" i="1"/>
  <c r="AD12" i="1" s="1"/>
  <c r="AD13" i="1" s="1"/>
  <c r="AD14" i="1" s="1"/>
  <c r="E61" i="22" l="1"/>
  <c r="E53" i="26"/>
  <c r="G53" i="26" s="1"/>
  <c r="E77" i="22"/>
  <c r="E61" i="26"/>
  <c r="E82" i="26"/>
  <c r="E68" i="26"/>
  <c r="G68" i="26" s="1"/>
  <c r="E68" i="1"/>
  <c r="G68" i="1" s="1"/>
  <c r="E76" i="24"/>
  <c r="E76" i="26"/>
  <c r="E52" i="26"/>
  <c r="G52" i="26" s="1"/>
  <c r="E76" i="22"/>
  <c r="E84" i="26"/>
  <c r="E80" i="22"/>
  <c r="I80" i="22" s="1"/>
  <c r="E52" i="22"/>
  <c r="G52" i="22" s="1"/>
  <c r="E60" i="22"/>
  <c r="E60" i="26"/>
  <c r="E84" i="22"/>
  <c r="E52" i="25"/>
  <c r="G52" i="25" s="1"/>
  <c r="E76" i="25"/>
  <c r="E60" i="25"/>
  <c r="D61" i="1"/>
  <c r="E61" i="1" s="1"/>
  <c r="C59" i="1"/>
  <c r="E80" i="1"/>
  <c r="H80" i="1" s="1"/>
  <c r="G80" i="1" s="1"/>
  <c r="E60" i="1"/>
  <c r="E53" i="1"/>
  <c r="G53" i="1" s="1"/>
  <c r="E53" i="25"/>
  <c r="G53" i="25" s="1"/>
  <c r="E77" i="25"/>
  <c r="E53" i="24"/>
  <c r="G53" i="24" s="1"/>
  <c r="E77" i="24"/>
  <c r="E77" i="20"/>
  <c r="E76" i="1"/>
  <c r="E61" i="24"/>
  <c r="E53" i="20"/>
  <c r="G53" i="20" s="1"/>
  <c r="E61" i="20"/>
  <c r="E84" i="24"/>
  <c r="E80" i="20"/>
  <c r="E77" i="1"/>
  <c r="E52" i="1"/>
  <c r="G52" i="1" s="1"/>
  <c r="E61" i="25"/>
  <c r="E52" i="24"/>
  <c r="G52" i="24" s="1"/>
  <c r="E60" i="20"/>
  <c r="E76" i="20"/>
  <c r="E84" i="1"/>
  <c r="E80" i="25"/>
  <c r="H80" i="25" s="1"/>
  <c r="G80" i="25" s="1"/>
  <c r="E52" i="20"/>
  <c r="G52" i="20" s="1"/>
  <c r="E84" i="25"/>
  <c r="E84" i="20"/>
  <c r="D62" i="1"/>
  <c r="D51" i="1"/>
  <c r="E51" i="1" s="1"/>
  <c r="D70" i="1"/>
  <c r="D67" i="1" s="1"/>
  <c r="E67" i="1" s="1"/>
  <c r="D78" i="1"/>
  <c r="D75" i="1" s="1"/>
  <c r="E75" i="1" s="1"/>
  <c r="C75" i="1"/>
  <c r="D70" i="19"/>
  <c r="D67" i="19" s="1"/>
  <c r="E67" i="19" s="1"/>
  <c r="D54" i="19"/>
  <c r="D51" i="19" s="1"/>
  <c r="D78" i="19"/>
  <c r="D75" i="19" s="1"/>
  <c r="E75" i="19" s="1"/>
  <c r="D62" i="19"/>
  <c r="D59" i="19" s="1"/>
  <c r="E59" i="19" s="1"/>
  <c r="D62" i="20"/>
  <c r="D59" i="20" s="1"/>
  <c r="E59" i="20" s="1"/>
  <c r="D70" i="20"/>
  <c r="D70" i="21"/>
  <c r="D67" i="21" s="1"/>
  <c r="E67" i="21" s="1"/>
  <c r="D78" i="21"/>
  <c r="D75" i="21" s="1"/>
  <c r="E75" i="21" s="1"/>
  <c r="D70" i="22"/>
  <c r="D67" i="22" s="1"/>
  <c r="E67" i="22" s="1"/>
  <c r="D62" i="22"/>
  <c r="D59" i="22" s="1"/>
  <c r="E59" i="22" s="1"/>
  <c r="D54" i="22"/>
  <c r="D51" i="22" s="1"/>
  <c r="E51" i="22" s="1"/>
  <c r="D70" i="23"/>
  <c r="D67" i="23" s="1"/>
  <c r="E67" i="23" s="1"/>
  <c r="D54" i="23"/>
  <c r="D51" i="23" s="1"/>
  <c r="E51" i="23" s="1"/>
  <c r="D62" i="23"/>
  <c r="D59" i="23" s="1"/>
  <c r="E59" i="23" s="1"/>
  <c r="D70" i="24"/>
  <c r="D67" i="24" s="1"/>
  <c r="E67" i="24" s="1"/>
  <c r="D54" i="24"/>
  <c r="D51" i="24" s="1"/>
  <c r="E51" i="24" s="1"/>
  <c r="D62" i="24"/>
  <c r="D59" i="24" s="1"/>
  <c r="E59" i="24" s="1"/>
  <c r="D70" i="25"/>
  <c r="D67" i="25" s="1"/>
  <c r="E67" i="25" s="1"/>
  <c r="D78" i="25"/>
  <c r="D75" i="25" s="1"/>
  <c r="E75" i="25" s="1"/>
  <c r="D62" i="25"/>
  <c r="D59" i="25" s="1"/>
  <c r="E59" i="25" s="1"/>
  <c r="D62" i="26"/>
  <c r="D59" i="26" s="1"/>
  <c r="E59" i="26" s="1"/>
  <c r="D78" i="27"/>
  <c r="D75" i="27" s="1"/>
  <c r="E75" i="27" s="1"/>
  <c r="D54" i="27"/>
  <c r="D51" i="27" s="1"/>
  <c r="E51" i="27" s="1"/>
  <c r="C51" i="27"/>
  <c r="D62" i="27"/>
  <c r="D59" i="27" s="1"/>
  <c r="E59" i="27" s="1"/>
  <c r="D70" i="27"/>
  <c r="D67" i="27" s="1"/>
  <c r="E67" i="27" s="1"/>
  <c r="C67" i="27"/>
  <c r="E77" i="27"/>
  <c r="E61" i="27"/>
  <c r="E53" i="27"/>
  <c r="G53" i="27" s="1"/>
  <c r="E69" i="27"/>
  <c r="G69" i="27" s="1"/>
  <c r="E68" i="19"/>
  <c r="G68" i="19" s="1"/>
  <c r="E53" i="22"/>
  <c r="G53" i="22" s="1"/>
  <c r="D80" i="19"/>
  <c r="C86" i="19"/>
  <c r="D78" i="20"/>
  <c r="D75" i="20" s="1"/>
  <c r="E75" i="20" s="1"/>
  <c r="D68" i="20"/>
  <c r="D54" i="20"/>
  <c r="D51" i="20" s="1"/>
  <c r="E51" i="20" s="1"/>
  <c r="C86" i="20"/>
  <c r="D54" i="21"/>
  <c r="D51" i="21" s="1"/>
  <c r="E51" i="21" s="1"/>
  <c r="C86" i="21"/>
  <c r="D62" i="21"/>
  <c r="D60" i="21"/>
  <c r="E60" i="21" s="1"/>
  <c r="C86" i="22"/>
  <c r="D82" i="22"/>
  <c r="E82" i="22" s="1"/>
  <c r="D78" i="22"/>
  <c r="D75" i="22" s="1"/>
  <c r="E75" i="22" s="1"/>
  <c r="C86" i="23"/>
  <c r="D80" i="23"/>
  <c r="E80" i="23" s="1"/>
  <c r="D78" i="23"/>
  <c r="D75" i="23" s="1"/>
  <c r="E75" i="23" s="1"/>
  <c r="D78" i="24"/>
  <c r="D75" i="24" s="1"/>
  <c r="E75" i="24" s="1"/>
  <c r="C86" i="24"/>
  <c r="D80" i="24"/>
  <c r="E80" i="24" s="1"/>
  <c r="C86" i="25"/>
  <c r="D54" i="25"/>
  <c r="D70" i="26"/>
  <c r="D67" i="26" s="1"/>
  <c r="E67" i="26" s="1"/>
  <c r="D54" i="26"/>
  <c r="D51" i="26" s="1"/>
  <c r="E51" i="26" s="1"/>
  <c r="D78" i="26"/>
  <c r="D75" i="26" s="1"/>
  <c r="E75" i="26" s="1"/>
  <c r="C86" i="26"/>
  <c r="D80" i="26"/>
  <c r="E80" i="26" s="1"/>
  <c r="I80" i="26" s="1"/>
  <c r="C86" i="27"/>
  <c r="G53" i="19"/>
  <c r="G54" i="19" s="1"/>
  <c r="G69" i="22"/>
  <c r="G52" i="23"/>
  <c r="G53" i="23"/>
  <c r="C86" i="1"/>
  <c r="G68" i="23"/>
  <c r="G69" i="19"/>
  <c r="G69" i="21"/>
  <c r="G68" i="22"/>
  <c r="G69" i="24"/>
  <c r="G52" i="27"/>
  <c r="G69" i="20"/>
  <c r="G68" i="21"/>
  <c r="G53" i="21"/>
  <c r="I80" i="21"/>
  <c r="G69" i="1"/>
  <c r="G52" i="21"/>
  <c r="G69" i="23"/>
  <c r="G68" i="24"/>
  <c r="G68" i="27"/>
  <c r="G69" i="25"/>
  <c r="G68" i="25"/>
  <c r="G69" i="26"/>
  <c r="E51" i="19" l="1"/>
  <c r="E54" i="19" s="1"/>
  <c r="D59" i="1"/>
  <c r="E59" i="1" s="1"/>
  <c r="E62" i="1" s="1"/>
  <c r="D86" i="27"/>
  <c r="D86" i="1"/>
  <c r="D59" i="21"/>
  <c r="E59" i="21" s="1"/>
  <c r="E62" i="21" s="1"/>
  <c r="G70" i="22"/>
  <c r="G70" i="19"/>
  <c r="D86" i="19"/>
  <c r="E80" i="19"/>
  <c r="E68" i="20"/>
  <c r="G68" i="20" s="1"/>
  <c r="G70" i="20" s="1"/>
  <c r="D67" i="20"/>
  <c r="E67" i="20" s="1"/>
  <c r="F6" i="64" s="1"/>
  <c r="G54" i="22"/>
  <c r="D86" i="25"/>
  <c r="D51" i="25"/>
  <c r="E51" i="25" s="1"/>
  <c r="E54" i="25" s="1"/>
  <c r="G70" i="21"/>
  <c r="D86" i="22"/>
  <c r="D86" i="23"/>
  <c r="D86" i="20"/>
  <c r="D86" i="21"/>
  <c r="E54" i="21"/>
  <c r="E78" i="22"/>
  <c r="E78" i="23"/>
  <c r="J53" i="10"/>
  <c r="D86" i="24"/>
  <c r="E62" i="26"/>
  <c r="D86" i="26"/>
  <c r="I80" i="24"/>
  <c r="H80" i="27"/>
  <c r="G80" i="27" s="1"/>
  <c r="E70" i="19"/>
  <c r="F31" i="64"/>
  <c r="G70" i="24"/>
  <c r="E54" i="23"/>
  <c r="G54" i="23"/>
  <c r="G54" i="21"/>
  <c r="E70" i="22"/>
  <c r="F27" i="64"/>
  <c r="G70" i="23"/>
  <c r="E78" i="20"/>
  <c r="G54" i="26"/>
  <c r="E62" i="23"/>
  <c r="G54" i="20"/>
  <c r="I80" i="27"/>
  <c r="F22" i="64"/>
  <c r="H80" i="24"/>
  <c r="G80" i="24" s="1"/>
  <c r="H80" i="22"/>
  <c r="G80" i="22" s="1"/>
  <c r="I80" i="1"/>
  <c r="E78" i="26"/>
  <c r="G54" i="27"/>
  <c r="I80" i="25"/>
  <c r="E78" i="24"/>
  <c r="G54" i="24"/>
  <c r="E62" i="19"/>
  <c r="G70" i="1"/>
  <c r="E54" i="24"/>
  <c r="G54" i="1"/>
  <c r="E78" i="21"/>
  <c r="H80" i="21"/>
  <c r="G80" i="21" s="1"/>
  <c r="E62" i="22"/>
  <c r="E54" i="20"/>
  <c r="H80" i="26"/>
  <c r="G80" i="26" s="1"/>
  <c r="E70" i="21"/>
  <c r="E62" i="24"/>
  <c r="E78" i="25"/>
  <c r="E78" i="27"/>
  <c r="G54" i="25"/>
  <c r="E62" i="27"/>
  <c r="E70" i="1"/>
  <c r="E70" i="23"/>
  <c r="E62" i="25"/>
  <c r="E54" i="22"/>
  <c r="E78" i="1"/>
  <c r="E70" i="24"/>
  <c r="E70" i="26"/>
  <c r="G70" i="26"/>
  <c r="E54" i="1"/>
  <c r="F11" i="64"/>
  <c r="F13" i="64"/>
  <c r="E54" i="27"/>
  <c r="E54" i="26"/>
  <c r="G70" i="25"/>
  <c r="E70" i="25"/>
  <c r="G70" i="27"/>
  <c r="E70" i="27"/>
  <c r="J54" i="10" l="1"/>
  <c r="F7" i="64"/>
  <c r="E86" i="25"/>
  <c r="E70" i="20"/>
  <c r="I80" i="19"/>
  <c r="H80" i="19"/>
  <c r="G80" i="19" s="1"/>
  <c r="E86" i="24"/>
  <c r="E86" i="26"/>
  <c r="E86" i="23"/>
  <c r="E86" i="21"/>
  <c r="E86" i="27"/>
  <c r="E86" i="22"/>
  <c r="F12" i="64"/>
  <c r="F5" i="64"/>
  <c r="F10" i="64"/>
  <c r="F4" i="64"/>
  <c r="E86" i="1"/>
  <c r="E78" i="19"/>
  <c r="E86" i="19" s="1"/>
  <c r="E62" i="20"/>
  <c r="H80" i="23"/>
  <c r="G80" i="23" s="1"/>
  <c r="I80" i="23"/>
  <c r="I80" i="20"/>
  <c r="H80" i="20"/>
  <c r="G80" i="20" s="1"/>
  <c r="F17" i="64" l="1"/>
  <c r="E86" i="20"/>
</calcChain>
</file>

<file path=xl/sharedStrings.xml><?xml version="1.0" encoding="utf-8"?>
<sst xmlns="http://schemas.openxmlformats.org/spreadsheetml/2006/main" count="1116" uniqueCount="174">
  <si>
    <t>OHJE</t>
  </si>
  <si>
    <t>Yleistä</t>
  </si>
  <si>
    <t xml:space="preserve">- Laskentapohja on tehty TyEL-eläkelaitoksen näkökulmasta (koskien Melan maksamia MYEL-siirtomääriä ja </t>
  </si>
  <si>
    <t xml:space="preserve">  MEK:n maksamia MEL-ylitteiden siirtomääriä)</t>
  </si>
  <si>
    <t>-  Pohja poimii oikeat pääoma-arvot automaattisesti.</t>
  </si>
  <si>
    <t>Muutokset edelliseen laskentapohjaan:</t>
  </si>
  <si>
    <t>Laskentapohjan sivujen sisältö</t>
  </si>
  <si>
    <t>Ohje</t>
  </si>
  <si>
    <t>Laskentapohjan ohjeet</t>
  </si>
  <si>
    <t>KJ-vuosi</t>
  </si>
  <si>
    <t>vakuutusmaksukoron muuttuessa kesken vuoden.</t>
  </si>
  <si>
    <t>Emenotiedosto</t>
  </si>
  <si>
    <t>Lopputulos: Eläkemenotiedosto täytettynä EU-siirtomääristä tarvittavilla tiedoilla. Ei päivitettävää.</t>
  </si>
  <si>
    <t>Pääoma-arvokertoimet</t>
  </si>
  <si>
    <t xml:space="preserve">Laskennassa käytettävät pääoma-arvokertoimet. </t>
  </si>
  <si>
    <t>Virkamies 1-10</t>
  </si>
  <si>
    <t>EU-virkamiehestä tarvittavat lähtötiedot ja laskentatulokset.</t>
  </si>
  <si>
    <t xml:space="preserve">Huom: </t>
  </si>
  <si>
    <r>
      <t xml:space="preserve">1) Siirtomäärä maksuosuuden eräpäivänä on korkoutettu siirtomäärän laskentapäivästä </t>
    </r>
    <r>
      <rPr>
        <b/>
        <sz val="12"/>
        <rFont val="Arial"/>
        <family val="2"/>
      </rPr>
      <t>siirtopäivään</t>
    </r>
    <r>
      <rPr>
        <sz val="12"/>
        <rFont val="Arial"/>
        <family val="2"/>
      </rPr>
      <t xml:space="preserve"> </t>
    </r>
  </si>
  <si>
    <t xml:space="preserve">   3,1% yksinkertaisella korolla</t>
  </si>
  <si>
    <r>
      <t xml:space="preserve">2) Siirtomäärä kustannustenjaossa korkoutetaan </t>
    </r>
    <r>
      <rPr>
        <b/>
        <sz val="12"/>
        <rFont val="Arial"/>
        <family val="2"/>
      </rPr>
      <t xml:space="preserve">siirtomäärän eräpäivästä </t>
    </r>
    <r>
      <rPr>
        <sz val="12"/>
        <rFont val="Arial"/>
        <family val="2"/>
      </rPr>
      <t xml:space="preserve">per 1.7. </t>
    </r>
  </si>
  <si>
    <t>vakuutusmaksukorolla korkoa korolle tekniikalla.</t>
  </si>
  <si>
    <t>Päivitettävät tiedot</t>
  </si>
  <si>
    <t>Muutettava vain kustannustenjakovuoden muuttuessa</t>
  </si>
  <si>
    <t>Syötettävä vain, jos haluaa eläkkeiden perintätiedostoon virkamiehen nimen</t>
  </si>
  <si>
    <t>Eläkemenotiedoston täyttöön tarvittavat lähtötiedot</t>
  </si>
  <si>
    <t>Tarkastukset</t>
  </si>
  <si>
    <t>Siirtomäärien pääoma-arvot yhteensä siirtomäärän laskentapäivinä</t>
  </si>
  <si>
    <t>Todella maksetut siirtomäärät yhteensä</t>
  </si>
  <si>
    <t>KUSTANNUSTENJAON VUOSIKOHTAISET TIEDOT</t>
  </si>
  <si>
    <t>Kustannustenjakovuosi v</t>
  </si>
  <si>
    <t>1 c) Kertasuoritukset EU-siirtomääristä (yksityisten alojen)</t>
  </si>
  <si>
    <t>VANHUUSELÄKKEET</t>
  </si>
  <si>
    <r>
      <t>82. TyEL-MEL:n mukaiset EU-siirtomäärät (ilman MEL-ylitettä)</t>
    </r>
    <r>
      <rPr>
        <vertAlign val="superscript"/>
        <sz val="10"/>
        <rFont val="Times New Roman"/>
        <family val="1"/>
      </rPr>
      <t xml:space="preserve"> 2)</t>
    </r>
  </si>
  <si>
    <t>€/v</t>
  </si>
  <si>
    <t>L79</t>
  </si>
  <si>
    <r>
      <t xml:space="preserve">83. MEL-ylitteiden EU-siirtomäärät </t>
    </r>
    <r>
      <rPr>
        <vertAlign val="superscript"/>
        <sz val="10"/>
        <rFont val="Times New Roman"/>
        <family val="1"/>
      </rPr>
      <t>2)</t>
    </r>
  </si>
  <si>
    <t>L80</t>
  </si>
  <si>
    <r>
      <t xml:space="preserve">84. YEL:n mukaiset EU-siirtomäärät </t>
    </r>
    <r>
      <rPr>
        <vertAlign val="superscript"/>
        <sz val="10"/>
        <rFont val="Times New Roman"/>
        <family val="1"/>
      </rPr>
      <t>3)</t>
    </r>
  </si>
  <si>
    <t>L81</t>
  </si>
  <si>
    <r>
      <t>85. MYEL:n mukaiset EU-siirtomäärät</t>
    </r>
    <r>
      <rPr>
        <vertAlign val="superscript"/>
        <sz val="10"/>
        <rFont val="Times New Roman"/>
        <family val="1"/>
      </rPr>
      <t xml:space="preserve"> 2)</t>
    </r>
  </si>
  <si>
    <t>L82</t>
  </si>
  <si>
    <t>TYÖKYVYTTÖMYYS- JA PERHE-ELÄKKEET</t>
  </si>
  <si>
    <r>
      <t>86. Yhteisesti kustann. TyEL-MEL:n mukaiset  EU-siirtom. (ilman MEL-ylitettä)</t>
    </r>
    <r>
      <rPr>
        <vertAlign val="superscript"/>
        <sz val="10"/>
        <rFont val="Times New Roman"/>
        <family val="1"/>
      </rPr>
      <t xml:space="preserve"> 2)</t>
    </r>
  </si>
  <si>
    <t>L83</t>
  </si>
  <si>
    <r>
      <t xml:space="preserve">87. MEL-ylitteiden EU-siirtomäärät </t>
    </r>
    <r>
      <rPr>
        <vertAlign val="superscript"/>
        <sz val="10"/>
        <rFont val="Times New Roman"/>
        <family val="1"/>
      </rPr>
      <t>2)</t>
    </r>
  </si>
  <si>
    <t>L84</t>
  </si>
  <si>
    <r>
      <t xml:space="preserve">88. YEL:n mukaiset EU-siirtomäärät </t>
    </r>
    <r>
      <rPr>
        <vertAlign val="superscript"/>
        <sz val="10"/>
        <rFont val="Times New Roman"/>
        <family val="1"/>
      </rPr>
      <t>3)</t>
    </r>
  </si>
  <si>
    <t>L85</t>
  </si>
  <si>
    <r>
      <t>89. MYEL:n mukaiset EU-siirtomäärät</t>
    </r>
    <r>
      <rPr>
        <vertAlign val="superscript"/>
        <sz val="10"/>
        <rFont val="Times New Roman"/>
        <family val="1"/>
      </rPr>
      <t xml:space="preserve"> 2)</t>
    </r>
  </si>
  <si>
    <t>L86</t>
  </si>
  <si>
    <t>2.  Rekisteröity TEL-lisäeläketurva ja työnantajavakuutus</t>
  </si>
  <si>
    <t>94. Kertasuoritukset EU-siirtomääristä (TEL-lisäturva):</t>
  </si>
  <si>
    <t>L153</t>
  </si>
  <si>
    <r>
      <t xml:space="preserve">vanhuus-, työkyvyttömyys- ja perhe-eläkkeet </t>
    </r>
    <r>
      <rPr>
        <b/>
        <i/>
        <vertAlign val="superscript"/>
        <sz val="10"/>
        <rFont val="Times New Roman"/>
        <family val="1"/>
      </rPr>
      <t xml:space="preserve"> </t>
    </r>
    <r>
      <rPr>
        <b/>
        <vertAlign val="superscript"/>
        <sz val="10"/>
        <rFont val="Times New Roman"/>
        <family val="1"/>
      </rPr>
      <t>4)</t>
    </r>
  </si>
  <si>
    <t>3. Rekisteröity YEL- lisäeläketurva</t>
  </si>
  <si>
    <t>96. Kertasuoritukset EU-siirtomääristä (YEL-lisäturva): vanhuus-,</t>
  </si>
  <si>
    <t>L155</t>
  </si>
  <si>
    <r>
      <t xml:space="preserve"> työkyvyttömyys- ja perhe-eläkkeet</t>
    </r>
    <r>
      <rPr>
        <b/>
        <vertAlign val="superscript"/>
        <sz val="10"/>
        <rFont val="Times New Roman"/>
        <family val="1"/>
      </rPr>
      <t xml:space="preserve"> 3)</t>
    </r>
  </si>
  <si>
    <t>4. Palkattomilta ajoilta karttuneet eläkeosat</t>
  </si>
  <si>
    <r>
      <t xml:space="preserve">102. EU-siirtomäärät </t>
    </r>
    <r>
      <rPr>
        <vertAlign val="superscript"/>
        <sz val="10"/>
        <rFont val="Times New Roman"/>
        <family val="1"/>
      </rPr>
      <t>2)</t>
    </r>
  </si>
  <si>
    <t>L140</t>
  </si>
  <si>
    <t>6. MEL:n mukaisten eläkkeiden vastuunjako-osat ja EU-siirtomäärät</t>
  </si>
  <si>
    <r>
      <t xml:space="preserve">116. EU-siirtomäärien vastuunjako-osat </t>
    </r>
    <r>
      <rPr>
        <vertAlign val="superscript"/>
        <sz val="10"/>
        <rFont val="Times New Roman"/>
        <family val="1"/>
      </rPr>
      <t>2)</t>
    </r>
  </si>
  <si>
    <t>L114</t>
  </si>
  <si>
    <t xml:space="preserve">Eläkelaitoksen itsensä kustannettavien ja toisten eläkelaitosten kustannettavien osalta ilmoitetaan EU-siirtomäärien maksu- </t>
  </si>
  <si>
    <t xml:space="preserve">osuuksien eräpäivien tasossa. </t>
  </si>
  <si>
    <t>perusturva</t>
  </si>
  <si>
    <t>ikä</t>
  </si>
  <si>
    <t>perusturvan kerroin</t>
  </si>
  <si>
    <t>va</t>
  </si>
  <si>
    <t>tk</t>
  </si>
  <si>
    <t>pe</t>
  </si>
  <si>
    <t>lisäturva</t>
  </si>
  <si>
    <t>LL</t>
  </si>
  <si>
    <t>YKSITTÄISEN VIRKAMIEHEN SYÖTTÖTIEDOT JA LASKENTATULOKSET</t>
  </si>
  <si>
    <t xml:space="preserve">Siirtokuukauden </t>
  </si>
  <si>
    <t>Kuukausikorko</t>
  </si>
  <si>
    <t>Kumulatiivinen kuukausikorko 1.7. asti</t>
  </si>
  <si>
    <t>korko (alle 1 kk)</t>
  </si>
  <si>
    <t>Henkilötiedot</t>
  </si>
  <si>
    <t>TyEL</t>
  </si>
  <si>
    <t>Nimi</t>
  </si>
  <si>
    <t>Henkilötunnus</t>
  </si>
  <si>
    <t>Siirtomäärän laskentapäivä</t>
  </si>
  <si>
    <t>Siirtomäärän maksuosuuden eräpäivä</t>
  </si>
  <si>
    <t>Siirtopäivä</t>
  </si>
  <si>
    <t>Ennakkolaskelmalla esiintyvä perusturvan ansaittu eläkeoikeus</t>
  </si>
  <si>
    <t>(samassa indeksissäkin kuin ennakkolaskelmalla)</t>
  </si>
  <si>
    <r>
      <t xml:space="preserve">TyEL-MEL-perusturvan ansaittu vanhuuseläkeoikeus ilman MEL-ylitettä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</si>
  <si>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MEL-ylite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</si>
  <si>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t>MEL vastuunjako-osa e/kk</t>
  </si>
  <si>
    <r>
      <t xml:space="preserve">YEL-perusturvan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</si>
  <si>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MYEL-perusturvan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</si>
  <si>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t>Palkattomien aikojen karttuma</t>
  </si>
  <si>
    <t>Ennakkolaskelmalla esiintyvä lisäeläketurvan ansaittu eläkeoikeus</t>
  </si>
  <si>
    <r>
      <t xml:space="preserve">TEL-lisäeläketurvan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</si>
  <si>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TEL-lisäeläketurvan ansaittu perhe-eläkeoikeus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</si>
  <si>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t>YEL</t>
  </si>
  <si>
    <t>TEL: Edunsaajina sekä leski että lapset (LL) / vain lapset (L)</t>
  </si>
  <si>
    <r>
      <t xml:space="preserve">YEL-lisäeläketurvan ansaittu vanhuuseläkeoikeus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</si>
  <si>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r>
      <t xml:space="preserve">YEL-lisäeläketurvan ansaittu perhe-eläkeoikeus </t>
    </r>
    <r>
      <rPr>
        <sz val="10"/>
        <rFont val="Euro Sans"/>
        <family val="5"/>
      </rPr>
      <t>e</t>
    </r>
    <r>
      <rPr>
        <sz val="10"/>
        <rFont val="Arial"/>
        <family val="2"/>
      </rPr>
      <t>/kk</t>
    </r>
  </si>
  <si>
    <t>YEL: Edunsaajina sekä leski että lapset (LL) / vain lapset (L)</t>
  </si>
  <si>
    <t>TEL-lisäeläketurvan rahastoidun osan pääoma-arvo per</t>
  </si>
  <si>
    <r>
      <t xml:space="preserve">Omalla vastuulla oleva vanhuuseläkkeen rahastoidun osan pääoma-arvo </t>
    </r>
    <r>
      <rPr>
        <sz val="10"/>
        <rFont val="Euro Sans"/>
        <family val="5"/>
      </rPr>
      <t>e</t>
    </r>
  </si>
  <si>
    <r>
      <t xml:space="preserve">Toisten vastuulla oleva vanhuuseläkkeen rahastoidun osan pääoma-arvo </t>
    </r>
    <r>
      <rPr>
        <sz val="10"/>
        <rFont val="Euro Sans"/>
        <family val="5"/>
      </rPr>
      <t>e</t>
    </r>
  </si>
  <si>
    <r>
      <t xml:space="preserve">Omalla vastuulla oleva työkyvyttömyyseläkkeen rahastoidun osan pääoma-arvo </t>
    </r>
    <r>
      <rPr>
        <sz val="10"/>
        <rFont val="Euro Sans"/>
        <family val="5"/>
      </rPr>
      <t>e</t>
    </r>
  </si>
  <si>
    <r>
      <t xml:space="preserve">Toisten vastuulla oleva työkyvyttömyyseläkkeen rahastoidun osan pääoma-arvo </t>
    </r>
    <r>
      <rPr>
        <sz val="10"/>
        <rFont val="Euro Sans"/>
        <family val="5"/>
      </rPr>
      <t>e</t>
    </r>
  </si>
  <si>
    <r>
      <t xml:space="preserve">Omalla vastuulla oleva perhe-eläkkeen rahastoidun osan pääoma-arvo </t>
    </r>
    <r>
      <rPr>
        <sz val="10"/>
        <rFont val="Euro Sans"/>
        <family val="5"/>
      </rPr>
      <t>e</t>
    </r>
  </si>
  <si>
    <r>
      <t xml:space="preserve">Toisten vastuulla oleva perhe-eläkkeen rahastoidun osan  pääoma-arvo </t>
    </r>
    <r>
      <rPr>
        <sz val="10"/>
        <rFont val="Euro Sans"/>
        <family val="5"/>
      </rPr>
      <t>e</t>
    </r>
  </si>
  <si>
    <t>*************************************************************************************************************************</t>
  </si>
  <si>
    <t>LASKENTATULOKSET</t>
  </si>
  <si>
    <t>Siirtomäärän laskentavuonna täyttämä ikä täysinä vuosina</t>
  </si>
  <si>
    <t>SIIRTOMÄÄRÄ</t>
  </si>
  <si>
    <t>Ennakkolaskelman</t>
  </si>
  <si>
    <t>Siirtomäärä</t>
  </si>
  <si>
    <t>Kustannustenjaossa</t>
  </si>
  <si>
    <t>mukainen pääoma-arvo</t>
  </si>
  <si>
    <t xml:space="preserve">(maksupäätöksen </t>
  </si>
  <si>
    <t>(korkoutettu per</t>
  </si>
  <si>
    <t>mukainen)</t>
  </si>
  <si>
    <t>TyEL-MEL-perusturvan pääoma-arvo ilman MEL-ylitettä</t>
  </si>
  <si>
    <t>Per</t>
  </si>
  <si>
    <t>Työkyvyttömyys- ja perhe-</t>
  </si>
  <si>
    <t>eläkkeen yhteisesti</t>
  </si>
  <si>
    <t>MEL</t>
  </si>
  <si>
    <t>Vanhuuseläke</t>
  </si>
  <si>
    <t>kustannettava osa:</t>
  </si>
  <si>
    <t>vastuunjako-osa:</t>
  </si>
  <si>
    <t>Työkyvyttömyyseläke</t>
  </si>
  <si>
    <t>Perhe-eläke</t>
  </si>
  <si>
    <t>Siirtomäärä yhteensä</t>
  </si>
  <si>
    <t>MEL-ylitteen pääoma-arvo</t>
  </si>
  <si>
    <t>YEL-perusturvan pääoma-arvo</t>
  </si>
  <si>
    <t>eläkkeen YEL eläkeoikeus</t>
  </si>
  <si>
    <t>yhteensä:</t>
  </si>
  <si>
    <t>MYEL-perusturvan pääoma-arvo</t>
  </si>
  <si>
    <t>Yhteisesti kustannettava osa</t>
  </si>
  <si>
    <t>Jos tämä negatiivinen,</t>
  </si>
  <si>
    <t>lisätään tasoitusvastuuseen</t>
  </si>
  <si>
    <t>TEL-lisäturvan pääoma-arvo</t>
  </si>
  <si>
    <t>YEL-lisäturvan pääoma-arvo</t>
  </si>
  <si>
    <t>Palkattomilta ajoilta karttunut pääoma-arvo</t>
  </si>
  <si>
    <t>Siirtokuukauden korko (alle 1 kk)</t>
  </si>
  <si>
    <t>MEL vastuunjako-osa</t>
  </si>
  <si>
    <t>TEL-lisäeläketurvan pääoma-arvo</t>
  </si>
  <si>
    <t>YEL-lisäeläketurvan pääoma-arvo</t>
  </si>
  <si>
    <t>vuosi</t>
  </si>
  <si>
    <t>- poa2022</t>
  </si>
  <si>
    <t>Kustannustenjakovuosikohtaisia tietoja, päivitettävä vain kustannustenjakovuoden muuttuessa tai</t>
  </si>
  <si>
    <t>- poa2023</t>
  </si>
  <si>
    <t>EU-siirtomäärät eläkemenotiedoissa per</t>
  </si>
  <si>
    <t xml:space="preserve">- Tällä laskentapohjalla voi laskea vuoden 2024 eläkemenotietoihin ja eläkkeiden perintätietoihin tarvittavat </t>
  </si>
  <si>
    <t xml:space="preserve">  tiedot EU-siirtomäärien kertasuorituksesta kun siirtomäärän laskentavuosi on 2022, 2023 tai 2024. </t>
  </si>
  <si>
    <t>- Poistettu vuoden 2021 pääoma-arvokertoimet ja lisätty vuoden 2024 pääoma-arvokertoimet</t>
  </si>
  <si>
    <t>- poa2024</t>
  </si>
  <si>
    <t xml:space="preserve">Päivitettävät tiedot löytyvät virkamieskohtaisilta välilehdiltä. </t>
  </si>
  <si>
    <t>Kustannustenjakovuoden (vakuutusmaksukoron) muuttuessa päivitettävä myös KJ-vuosi -välilehden tiedot</t>
  </si>
  <si>
    <t>TyEL-MEL-MYEL vakuutusmaksukorko tammikuu v</t>
  </si>
  <si>
    <t xml:space="preserve">TyEL-MEL-MYEL vakuutusmaksukorko helmikuu v </t>
  </si>
  <si>
    <t xml:space="preserve">TyEL-MEL-MYEL vakuutusmaksukorko maaliskuu v </t>
  </si>
  <si>
    <t xml:space="preserve">TyEL-MEL-MYEL vakuutusmaksukorko huhtikuu v </t>
  </si>
  <si>
    <t xml:space="preserve">TyEL-MEL-MYEL vakuutusmaksukorko toukokuu v </t>
  </si>
  <si>
    <t xml:space="preserve">TyEL-MEL-MYEL vakuutusmaksukorko kesäkuu v </t>
  </si>
  <si>
    <t xml:space="preserve">TyEL-MEL-MYEL vakuutusmaksukorko heinäkuu v </t>
  </si>
  <si>
    <t xml:space="preserve">TyEL-MEL-MYEL vakuutusmaksukorko elokuu v </t>
  </si>
  <si>
    <t xml:space="preserve">TyEL-MEL-MYEL vakuutusmaksukorko syyskuu v </t>
  </si>
  <si>
    <t xml:space="preserve">TyEL-MEL-MYEL vakuutusmaksukorko lokakuu v </t>
  </si>
  <si>
    <t xml:space="preserve">TyEL-MEL-MYEL vakuutusmaksukorko marraskuu v </t>
  </si>
  <si>
    <t xml:space="preserve">TyEL-MEL-MYEL vakuutusmaksukorko joulukuu v </t>
  </si>
  <si>
    <t>YEL vakuutusmaksukorko v</t>
  </si>
  <si>
    <r>
      <t>2) Sisältää vakuutusmaksukoron b</t>
    </r>
    <r>
      <rPr>
        <vertAlign val="subscript"/>
        <sz val="10"/>
        <rFont val="Times New Roman"/>
        <family val="1"/>
      </rPr>
      <t>17</t>
    </r>
    <r>
      <rPr>
        <sz val="10"/>
        <rFont val="Times New Roman"/>
        <family val="1"/>
      </rPr>
      <t>, EU-siirtomäärien maksuosuuksien eräpäivistä hetkelle 1.7.2024.</t>
    </r>
  </si>
  <si>
    <t>3) Sisältää YEL:n mukaisen vakuutusmaksukoron EU-siirtomäärien maksuosuuksien eräpäivistä hetkelle 1.7.2024.</t>
  </si>
  <si>
    <r>
      <t>4) Yhteisesti kustannettavien osalta sisätää vakuutusmaksukoron b</t>
    </r>
    <r>
      <rPr>
        <vertAlign val="subscript"/>
        <sz val="10"/>
        <rFont val="Times New Roman"/>
        <family val="1"/>
      </rPr>
      <t>17</t>
    </r>
    <r>
      <rPr>
        <sz val="10"/>
        <rFont val="Times New Roman"/>
        <family val="1"/>
      </rPr>
      <t xml:space="preserve"> EU-siirtomäärien maksuosuuksien eräpäivistä hetkelle 1.7.2024.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</si>
</sst>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00000"/>
    <numFmt numFmtId="166" formatCode="0.000"/>
    <numFmt numFmtId="167" formatCode="0.0\ %"/>
    <numFmt numFmtId="168" formatCode="0.0000000"/>
    <numFmt numFmtId="169" formatCode="0.00000000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sz val="10"/>
      <name val="Euro Sans"/>
      <family val="5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10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2"/>
      <color indexed="10"/>
      <name val="Arial"/>
      <family val="2"/>
    </font>
    <font>
      <vertAlign val="superscript"/>
      <sz val="10"/>
      <name val="Times New Roman"/>
      <family val="1"/>
    </font>
    <font>
      <b/>
      <i/>
      <vertAlign val="superscript"/>
      <sz val="10"/>
      <name val="Times New Roman"/>
      <family val="1"/>
    </font>
    <font>
      <b/>
      <vertAlign val="superscript"/>
      <sz val="10"/>
      <name val="Times New Roman"/>
      <family val="1"/>
    </font>
    <font>
      <vertAlign val="subscript"/>
      <sz val="10"/>
      <name val="Times New Roman"/>
      <family val="1"/>
    </font>
    <font>
      <sz val="10"/>
      <color theme="8" tint="-0.249977111117893"/>
      <name val="Arial"/>
      <family val="2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64" fontId="0" fillId="0" borderId="0" xfId="0" applyNumberFormat="1"/>
    <xf numFmtId="0" fontId="2" fillId="0" borderId="0" xfId="0" applyFont="1"/>
    <xf numFmtId="0" fontId="5" fillId="0" borderId="0" xfId="0" applyFont="1"/>
    <xf numFmtId="4" fontId="2" fillId="0" borderId="0" xfId="0" applyNumberFormat="1" applyFont="1" applyAlignment="1">
      <alignment horizontal="right"/>
    </xf>
    <xf numFmtId="14" fontId="0" fillId="0" borderId="0" xfId="0" applyNumberFormat="1"/>
    <xf numFmtId="2" fontId="0" fillId="0" borderId="0" xfId="0" applyNumberFormat="1"/>
    <xf numFmtId="165" fontId="4" fillId="0" borderId="0" xfId="0" applyNumberFormat="1" applyFont="1"/>
    <xf numFmtId="4" fontId="2" fillId="0" borderId="0" xfId="0" quotePrefix="1" applyNumberFormat="1" applyFont="1"/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quotePrefix="1" applyFont="1"/>
    <xf numFmtId="0" fontId="7" fillId="3" borderId="0" xfId="0" applyFont="1" applyFill="1"/>
    <xf numFmtId="0" fontId="7" fillId="4" borderId="0" xfId="0" applyFont="1" applyFill="1"/>
    <xf numFmtId="0" fontId="7" fillId="5" borderId="0" xfId="0" applyFont="1" applyFill="1"/>
    <xf numFmtId="4" fontId="2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8" fillId="0" borderId="0" xfId="0" applyFont="1"/>
    <xf numFmtId="14" fontId="7" fillId="0" borderId="0" xfId="0" applyNumberFormat="1" applyFont="1"/>
    <xf numFmtId="0" fontId="9" fillId="0" borderId="0" xfId="0" applyFont="1"/>
    <xf numFmtId="2" fontId="10" fillId="0" borderId="0" xfId="0" applyNumberFormat="1" applyFont="1"/>
    <xf numFmtId="4" fontId="10" fillId="0" borderId="0" xfId="0" applyNumberFormat="1" applyFont="1"/>
    <xf numFmtId="0" fontId="10" fillId="0" borderId="0" xfId="0" applyFont="1"/>
    <xf numFmtId="0" fontId="13" fillId="0" borderId="0" xfId="0" applyFont="1"/>
    <xf numFmtId="0" fontId="12" fillId="0" borderId="0" xfId="0" applyFont="1"/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vertical="top" indent="15"/>
    </xf>
    <xf numFmtId="0" fontId="15" fillId="0" borderId="0" xfId="0" applyFont="1"/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indent="15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4" fontId="15" fillId="0" borderId="0" xfId="0" applyNumberFormat="1" applyFont="1" applyAlignment="1">
      <alignment horizontal="left" vertical="top" indent="15"/>
    </xf>
    <xf numFmtId="4" fontId="15" fillId="0" borderId="0" xfId="0" applyNumberFormat="1" applyFont="1" applyAlignment="1">
      <alignment vertical="top"/>
    </xf>
    <xf numFmtId="4" fontId="16" fillId="0" borderId="0" xfId="0" applyNumberFormat="1" applyFont="1" applyAlignment="1">
      <alignment vertical="top"/>
    </xf>
    <xf numFmtId="4" fontId="15" fillId="0" borderId="1" xfId="0" applyNumberFormat="1" applyFont="1" applyBorder="1" applyAlignment="1">
      <alignment vertical="top"/>
    </xf>
    <xf numFmtId="4" fontId="15" fillId="0" borderId="2" xfId="0" applyNumberFormat="1" applyFont="1" applyBorder="1" applyAlignment="1">
      <alignment vertical="top"/>
    </xf>
    <xf numFmtId="4" fontId="15" fillId="0" borderId="0" xfId="0" applyNumberFormat="1" applyFont="1"/>
    <xf numFmtId="4" fontId="15" fillId="0" borderId="1" xfId="0" applyNumberFormat="1" applyFont="1" applyBorder="1"/>
    <xf numFmtId="0" fontId="17" fillId="0" borderId="0" xfId="0" applyFont="1" applyAlignment="1">
      <alignment vertical="top"/>
    </xf>
    <xf numFmtId="4" fontId="0" fillId="0" borderId="0" xfId="0" applyNumberFormat="1"/>
    <xf numFmtId="4" fontId="2" fillId="0" borderId="1" xfId="0" quotePrefix="1" applyNumberFormat="1" applyFont="1" applyBorder="1"/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0" fontId="20" fillId="0" borderId="0" xfId="0" applyFont="1"/>
    <xf numFmtId="14" fontId="2" fillId="0" borderId="0" xfId="0" applyNumberFormat="1" applyFont="1"/>
    <xf numFmtId="4" fontId="2" fillId="2" borderId="0" xfId="0" applyNumberFormat="1" applyFont="1" applyFill="1"/>
    <xf numFmtId="4" fontId="1" fillId="2" borderId="0" xfId="0" applyNumberFormat="1" applyFont="1" applyFill="1" applyAlignment="1">
      <alignment horizontal="right"/>
    </xf>
    <xf numFmtId="4" fontId="1" fillId="4" borderId="0" xfId="0" applyNumberFormat="1" applyFont="1" applyFill="1" applyAlignment="1">
      <alignment horizontal="right"/>
    </xf>
    <xf numFmtId="0" fontId="15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right"/>
    </xf>
    <xf numFmtId="166" fontId="1" fillId="0" borderId="0" xfId="0" applyNumberFormat="1" applyFont="1"/>
    <xf numFmtId="167" fontId="0" fillId="0" borderId="0" xfId="1" applyNumberFormat="1" applyFont="1"/>
    <xf numFmtId="164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169" fontId="0" fillId="0" borderId="0" xfId="0" applyNumberFormat="1"/>
    <xf numFmtId="14" fontId="1" fillId="0" borderId="0" xfId="0" applyNumberFormat="1" applyFont="1"/>
    <xf numFmtId="165" fontId="1" fillId="0" borderId="0" xfId="0" applyNumberFormat="1" applyFont="1"/>
    <xf numFmtId="168" fontId="1" fillId="0" borderId="0" xfId="0" applyNumberFormat="1" applyFont="1"/>
    <xf numFmtId="1" fontId="1" fillId="0" borderId="0" xfId="0" applyNumberFormat="1" applyFont="1"/>
    <xf numFmtId="167" fontId="0" fillId="0" borderId="0" xfId="1" applyNumberFormat="1" applyFont="1" applyFill="1"/>
    <xf numFmtId="1" fontId="1" fillId="3" borderId="0" xfId="0" applyNumberFormat="1" applyFont="1" applyFill="1"/>
    <xf numFmtId="10" fontId="1" fillId="3" borderId="0" xfId="1" applyNumberFormat="1" applyFont="1" applyFill="1"/>
    <xf numFmtId="0" fontId="1" fillId="0" borderId="0" xfId="0" applyFont="1" applyAlignment="1">
      <alignment vertical="center" textRotation="255"/>
    </xf>
    <xf numFmtId="0" fontId="1" fillId="0" borderId="0" xfId="0" applyFont="1" applyAlignment="1">
      <alignment textRotation="255"/>
    </xf>
    <xf numFmtId="4" fontId="1" fillId="2" borderId="0" xfId="0" applyNumberFormat="1" applyFont="1" applyFill="1"/>
    <xf numFmtId="2" fontId="1" fillId="0" borderId="0" xfId="0" applyNumberFormat="1" applyFont="1"/>
    <xf numFmtId="3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0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quotePrefix="1" applyNumberFormat="1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/>
    <xf numFmtId="4" fontId="1" fillId="0" borderId="1" xfId="0" quotePrefix="1" applyNumberFormat="1" applyFont="1" applyBorder="1"/>
    <xf numFmtId="4" fontId="1" fillId="0" borderId="0" xfId="0" applyNumberFormat="1" applyFont="1" applyAlignment="1">
      <alignment horizontal="right"/>
    </xf>
    <xf numFmtId="14" fontId="25" fillId="0" borderId="0" xfId="0" applyNumberFormat="1" applyFont="1"/>
    <xf numFmtId="0" fontId="26" fillId="0" borderId="0" xfId="0" applyFont="1"/>
    <xf numFmtId="0" fontId="0" fillId="6" borderId="0" xfId="0" applyFill="1"/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J72"/>
  <sheetViews>
    <sheetView workbookViewId="0"/>
  </sheetViews>
  <sheetFormatPr defaultColWidth="9.140625" defaultRowHeight="15"/>
  <cols>
    <col min="1" max="1" width="11.42578125" style="14" bestFit="1" customWidth="1"/>
    <col min="2" max="2" width="12.7109375" style="14" bestFit="1" customWidth="1"/>
    <col min="3" max="9" width="9.140625" style="14"/>
    <col min="10" max="10" width="16.42578125" style="14" customWidth="1"/>
    <col min="11" max="16384" width="9.140625" style="14"/>
  </cols>
  <sheetData>
    <row r="1" spans="1:1" ht="18">
      <c r="A1" s="1" t="s">
        <v>0</v>
      </c>
    </row>
    <row r="2" spans="1:1" ht="15.75">
      <c r="A2" s="13"/>
    </row>
    <row r="3" spans="1:1" ht="18">
      <c r="A3" s="1" t="s">
        <v>1</v>
      </c>
    </row>
    <row r="4" spans="1:1" ht="15.75">
      <c r="A4" s="13"/>
    </row>
    <row r="5" spans="1:1">
      <c r="A5" s="15" t="s">
        <v>152</v>
      </c>
    </row>
    <row r="6" spans="1:1">
      <c r="A6" s="15" t="s">
        <v>153</v>
      </c>
    </row>
    <row r="7" spans="1:1">
      <c r="A7" s="15" t="s">
        <v>2</v>
      </c>
    </row>
    <row r="8" spans="1:1">
      <c r="A8" s="15" t="s">
        <v>3</v>
      </c>
    </row>
    <row r="9" spans="1:1">
      <c r="A9" s="15" t="s">
        <v>4</v>
      </c>
    </row>
    <row r="10" spans="1:1">
      <c r="A10" s="15"/>
    </row>
    <row r="11" spans="1:1" ht="15.75">
      <c r="A11" s="51" t="s">
        <v>5</v>
      </c>
    </row>
    <row r="12" spans="1:1">
      <c r="A12" s="15" t="s">
        <v>154</v>
      </c>
    </row>
    <row r="13" spans="1:1">
      <c r="A13" s="15"/>
    </row>
    <row r="14" spans="1:1" ht="18">
      <c r="A14" s="1" t="s">
        <v>6</v>
      </c>
    </row>
    <row r="15" spans="1:1">
      <c r="A15" s="15"/>
    </row>
    <row r="16" spans="1:1">
      <c r="A16" s="22" t="s">
        <v>7</v>
      </c>
    </row>
    <row r="17" spans="1:1">
      <c r="A17" s="14" t="s">
        <v>8</v>
      </c>
    </row>
    <row r="18" spans="1:1">
      <c r="A18" s="24"/>
    </row>
    <row r="19" spans="1:1">
      <c r="A19" s="22" t="s">
        <v>9</v>
      </c>
    </row>
    <row r="20" spans="1:1">
      <c r="A20" s="14" t="s">
        <v>149</v>
      </c>
    </row>
    <row r="21" spans="1:1">
      <c r="A21" s="14" t="s">
        <v>10</v>
      </c>
    </row>
    <row r="23" spans="1:1">
      <c r="A23" s="22" t="s">
        <v>11</v>
      </c>
    </row>
    <row r="24" spans="1:1">
      <c r="A24" s="14" t="s">
        <v>12</v>
      </c>
    </row>
    <row r="26" spans="1:1">
      <c r="A26" s="22" t="s">
        <v>13</v>
      </c>
    </row>
    <row r="27" spans="1:1">
      <c r="A27" s="14" t="s">
        <v>14</v>
      </c>
    </row>
    <row r="28" spans="1:1">
      <c r="A28" s="15" t="s">
        <v>155</v>
      </c>
    </row>
    <row r="29" spans="1:1">
      <c r="A29" s="15" t="s">
        <v>150</v>
      </c>
    </row>
    <row r="30" spans="1:1">
      <c r="A30" s="15" t="s">
        <v>148</v>
      </c>
    </row>
    <row r="31" spans="1:1">
      <c r="A31" s="22"/>
    </row>
    <row r="32" spans="1:1">
      <c r="A32" s="22" t="s">
        <v>15</v>
      </c>
    </row>
    <row r="33" spans="1:2">
      <c r="A33" s="14" t="s">
        <v>16</v>
      </c>
    </row>
    <row r="35" spans="1:2">
      <c r="A35" s="14" t="s">
        <v>17</v>
      </c>
    </row>
    <row r="36" spans="1:2" ht="15.75">
      <c r="A36" s="14" t="s">
        <v>18</v>
      </c>
    </row>
    <row r="37" spans="1:2">
      <c r="A37" s="14" t="s">
        <v>19</v>
      </c>
    </row>
    <row r="38" spans="1:2" ht="15.75">
      <c r="A38" s="14" t="s">
        <v>20</v>
      </c>
    </row>
    <row r="39" spans="1:2">
      <c r="A39" s="14" t="s">
        <v>21</v>
      </c>
    </row>
    <row r="40" spans="1:2">
      <c r="A40" s="22"/>
    </row>
    <row r="41" spans="1:2" ht="18">
      <c r="A41" s="1" t="s">
        <v>22</v>
      </c>
    </row>
    <row r="42" spans="1:2" ht="15.75">
      <c r="A42" s="13"/>
    </row>
    <row r="43" spans="1:2">
      <c r="A43" s="14" t="s">
        <v>156</v>
      </c>
    </row>
    <row r="44" spans="1:2">
      <c r="A44" s="14" t="s">
        <v>157</v>
      </c>
    </row>
    <row r="46" spans="1:2">
      <c r="A46" s="16"/>
      <c r="B46" s="14" t="s">
        <v>23</v>
      </c>
    </row>
    <row r="47" spans="1:2">
      <c r="A47" s="17"/>
      <c r="B47" s="14" t="s">
        <v>24</v>
      </c>
    </row>
    <row r="48" spans="1:2">
      <c r="A48" s="18"/>
      <c r="B48" s="14" t="s">
        <v>25</v>
      </c>
    </row>
    <row r="51" spans="1:10" ht="18">
      <c r="A51" s="1" t="s">
        <v>26</v>
      </c>
    </row>
    <row r="52" spans="1:10" ht="15.75">
      <c r="A52" s="13"/>
    </row>
    <row r="53" spans="1:10">
      <c r="A53" s="14" t="s">
        <v>27</v>
      </c>
      <c r="J53" s="21">
        <f>SUM('Virkamies 1:Virkamies 10'!C86)</f>
        <v>0</v>
      </c>
    </row>
    <row r="54" spans="1:10">
      <c r="A54" s="14" t="s">
        <v>28</v>
      </c>
      <c r="J54" s="21">
        <f>SUM('Virkamies 1:Virkamies 10'!D86)</f>
        <v>0</v>
      </c>
    </row>
    <row r="55" spans="1:10">
      <c r="J55" s="21"/>
    </row>
    <row r="56" spans="1:10" ht="18">
      <c r="A56" s="1"/>
    </row>
    <row r="57" spans="1:10" ht="15.75">
      <c r="A57" s="13"/>
    </row>
    <row r="58" spans="1:10">
      <c r="A58" s="22"/>
    </row>
    <row r="59" spans="1:10">
      <c r="A59" s="20"/>
    </row>
    <row r="60" spans="1:10">
      <c r="A60" s="20"/>
    </row>
    <row r="62" spans="1:10">
      <c r="A62" s="57"/>
    </row>
    <row r="63" spans="1:10">
      <c r="A63" s="22"/>
    </row>
    <row r="71" spans="1:2">
      <c r="A71" s="23"/>
      <c r="B71" s="23"/>
    </row>
    <row r="72" spans="1:2">
      <c r="A72" s="23"/>
      <c r="B72" s="23"/>
    </row>
  </sheetData>
  <phoneticPr fontId="0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ul9"/>
  <dimension ref="A1:AH89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10.42578125" style="6" customWidth="1"/>
    <col min="9" max="9" width="10.85546875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143</v>
      </c>
      <c r="AC1" s="58" t="s">
        <v>77</v>
      </c>
      <c r="AD1" s="57" t="s">
        <v>78</v>
      </c>
      <c r="AE1" s="57"/>
      <c r="AF1" s="57"/>
      <c r="AG1" s="57"/>
      <c r="AH1" s="65" t="str">
        <f>LEFT(F5,2)&amp;"."&amp;MID(F5,3,2)&amp;".19"&amp;MID(F5,5,2)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>
      <c r="A3" s="5" t="s">
        <v>80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1.003466091602899</v>
      </c>
      <c r="AC3" s="57">
        <f>+(1+'KJ-vuosi'!B4)^(1/12)</f>
        <v>1.0033540948994528</v>
      </c>
      <c r="AD3" s="57">
        <f>AC4*AD4</f>
        <v>1.0168833519905274</v>
      </c>
      <c r="AE3" s="57"/>
      <c r="AF3" s="57"/>
      <c r="AG3" s="57"/>
      <c r="AH3" s="57"/>
    </row>
    <row r="4" spans="1:34">
      <c r="A4" s="5"/>
      <c r="B4" s="57" t="s">
        <v>82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1.003466091602899</v>
      </c>
      <c r="AC4" s="57">
        <f>+(1+'KJ-vuosi'!B5)^(1/12)</f>
        <v>1.0033540948994528</v>
      </c>
      <c r="AD4" s="57">
        <f t="shared" ref="AD4:AD7" si="0">AC5*AD5</f>
        <v>1.0134840303735744</v>
      </c>
      <c r="AE4" s="57"/>
      <c r="AF4" s="57"/>
      <c r="AG4" s="57"/>
      <c r="AH4" s="57"/>
    </row>
    <row r="5" spans="1:34">
      <c r="A5" s="57"/>
      <c r="B5" s="57" t="s">
        <v>83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1.003466091602899</v>
      </c>
      <c r="AC5" s="57">
        <f>+(1+'KJ-vuosi'!B6)^(1/12)</f>
        <v>1.0033540948994528</v>
      </c>
      <c r="AD5" s="57">
        <f t="shared" si="0"/>
        <v>1.0100960722895507</v>
      </c>
      <c r="AE5" s="57"/>
      <c r="AF5" s="57"/>
      <c r="AG5" s="57"/>
      <c r="AH5" s="57"/>
    </row>
    <row r="6" spans="1:34">
      <c r="A6" s="57"/>
      <c r="B6" s="57" t="s">
        <v>84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1.003466091602899</v>
      </c>
      <c r="AC6" s="57">
        <f>+(1+'KJ-vuosi'!B7)^(1/12)</f>
        <v>1.0033540948994528</v>
      </c>
      <c r="AD6" s="57">
        <f t="shared" si="0"/>
        <v>1.0067194397515002</v>
      </c>
      <c r="AE6" s="57"/>
      <c r="AF6" s="57"/>
      <c r="AG6" s="57"/>
      <c r="AH6" s="57"/>
    </row>
    <row r="7" spans="1:34">
      <c r="A7" s="57"/>
      <c r="B7" s="57" t="s">
        <v>85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1.003466091602899</v>
      </c>
      <c r="AC7" s="57">
        <f>+(1+'KJ-vuosi'!B8)^(1/12)</f>
        <v>1.0033540948994528</v>
      </c>
      <c r="AD7" s="57">
        <f t="shared" si="0"/>
        <v>1.0033540948994528</v>
      </c>
      <c r="AE7" s="57"/>
      <c r="AF7" s="57"/>
      <c r="AG7" s="57"/>
      <c r="AH7" s="57"/>
    </row>
    <row r="8" spans="1:34">
      <c r="A8" s="57"/>
      <c r="B8" s="57" t="s">
        <v>86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1.003466091602899</v>
      </c>
      <c r="AC8" s="57">
        <f>+(1+'KJ-vuosi'!B9)^(1/12)</f>
        <v>1.0033540948994528</v>
      </c>
      <c r="AD8" s="57">
        <v>1</v>
      </c>
      <c r="AE8" s="57"/>
      <c r="AF8" s="57"/>
      <c r="AG8" s="57"/>
      <c r="AH8" s="57"/>
    </row>
    <row r="9" spans="1:34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4'!$F$7))/360))</f>
        <v>1</v>
      </c>
      <c r="AC9" s="57">
        <f>+(1+'KJ-vuosi'!B10)^(-1/12)</f>
        <v>0.99693686989174457</v>
      </c>
      <c r="AD9" s="57">
        <v>1</v>
      </c>
      <c r="AE9" s="57"/>
      <c r="AF9" s="57"/>
      <c r="AG9" s="57"/>
      <c r="AH9" s="57"/>
    </row>
    <row r="10" spans="1:34">
      <c r="A10" s="5" t="s">
        <v>87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4'!$F$7))/360))</f>
        <v>1</v>
      </c>
      <c r="AC10" s="57">
        <f>+(1+'KJ-vuosi'!B11)^(-1/12)</f>
        <v>0.99693686989174457</v>
      </c>
      <c r="AD10" s="57">
        <f>+AC9</f>
        <v>0.99693686989174457</v>
      </c>
      <c r="AE10" s="57"/>
      <c r="AF10" s="57"/>
      <c r="AG10" s="57"/>
      <c r="AH10" s="57"/>
    </row>
    <row r="11" spans="1:34">
      <c r="A11" s="5" t="s">
        <v>88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4'!$F$7))/360))</f>
        <v>1</v>
      </c>
      <c r="AC11" s="57">
        <f>+(1+'KJ-vuosi'!B12)^(-1/12)</f>
        <v>0.99693686989174457</v>
      </c>
      <c r="AD11" s="57">
        <f>+AD10*AC10</f>
        <v>0.99388312254954925</v>
      </c>
      <c r="AE11" s="57"/>
      <c r="AF11" s="57"/>
      <c r="AG11" s="57"/>
      <c r="AH11" s="57"/>
    </row>
    <row r="12" spans="1:34">
      <c r="A12" s="57"/>
      <c r="B12" s="57" t="s">
        <v>89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4'!$F$7))/360))</f>
        <v>1</v>
      </c>
      <c r="AC12" s="57">
        <f>+(1+'KJ-vuosi'!B13)^(-1/12)</f>
        <v>0.99693686989174457</v>
      </c>
      <c r="AD12" s="57">
        <f>+AD11*AC11</f>
        <v>0.99083872923278082</v>
      </c>
      <c r="AE12" s="57"/>
      <c r="AF12" s="57"/>
      <c r="AG12" s="57"/>
      <c r="AH12" s="57"/>
    </row>
    <row r="13" spans="1:34">
      <c r="A13" s="57"/>
      <c r="B13" s="57" t="s">
        <v>90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4'!$F$7))/360))</f>
        <v>1</v>
      </c>
      <c r="AC13" s="57">
        <f>+(1+'KJ-vuosi'!B14)^(-1/12)</f>
        <v>0.99693686989174457</v>
      </c>
      <c r="AD13" s="57">
        <f>+AD12*AC12</f>
        <v>0.98780366128884234</v>
      </c>
      <c r="AE13" s="57"/>
      <c r="AF13" s="57"/>
      <c r="AG13" s="57"/>
      <c r="AH13" s="57"/>
    </row>
    <row r="14" spans="1:34">
      <c r="A14" s="57"/>
      <c r="B14" s="57" t="s">
        <v>144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4'!$F$7))/360))</f>
        <v>1</v>
      </c>
      <c r="AC14" s="57">
        <f>+(1+'KJ-vuosi'!B15)^(-1/12)</f>
        <v>0.99693686989174457</v>
      </c>
      <c r="AD14" s="57">
        <f>+AD13*AC13</f>
        <v>0.98477789015290351</v>
      </c>
      <c r="AE14" s="57"/>
      <c r="AF14" s="57"/>
      <c r="AG14" s="57"/>
      <c r="AH14" s="57"/>
    </row>
    <row r="15" spans="1:34">
      <c r="A15" s="57"/>
      <c r="B15" s="57" t="s">
        <v>92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93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94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95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88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76</v>
      </c>
      <c r="AC20" s="57" t="s">
        <v>77</v>
      </c>
      <c r="AD20" s="57" t="s">
        <v>78</v>
      </c>
      <c r="AE20" s="57"/>
      <c r="AF20" s="57"/>
      <c r="AG20" s="57"/>
      <c r="AH20" s="65" t="str">
        <f>LEFT(F5,2)&amp;"."&amp;MID(F5,3,2)&amp;".19"&amp;MID(F5,5,2)</f>
        <v>..19</v>
      </c>
    </row>
    <row r="21" spans="1:34">
      <c r="A21" s="57"/>
      <c r="B21" s="57" t="s">
        <v>96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79</v>
      </c>
      <c r="AC21" s="57"/>
      <c r="AD21" s="57"/>
      <c r="AE21" s="57"/>
      <c r="AF21" s="57"/>
      <c r="AG21" s="57"/>
      <c r="AH21" s="57"/>
    </row>
    <row r="22" spans="1:34">
      <c r="A22" s="57"/>
      <c r="B22" s="57" t="s">
        <v>97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98</v>
      </c>
      <c r="AA22" s="57">
        <v>1</v>
      </c>
      <c r="AB22" s="66">
        <f>(1+'KJ-vuosi'!$B$16)^((31-DAY($F$7))/360)</f>
        <v>1.003466091602899</v>
      </c>
      <c r="AC22" s="57">
        <f>+(1+'KJ-vuosi'!B16)^(1/12)</f>
        <v>1.0033540948994528</v>
      </c>
      <c r="AD22" s="57">
        <f>AC23*AD23</f>
        <v>1.0168833519905274</v>
      </c>
      <c r="AE22" s="57"/>
      <c r="AF22" s="57"/>
      <c r="AG22" s="57"/>
      <c r="AH22" s="57"/>
    </row>
    <row r="23" spans="1:34">
      <c r="A23" s="57"/>
      <c r="B23" s="57" t="s">
        <v>99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1.003466091602899</v>
      </c>
      <c r="AC23" s="57">
        <f>+(1+'KJ-vuosi'!B16)^(1/12)</f>
        <v>1.0033540948994528</v>
      </c>
      <c r="AD23" s="57">
        <f t="shared" ref="AD23:AD26" si="1">AC24*AD24</f>
        <v>1.0134840303735744</v>
      </c>
      <c r="AE23" s="57"/>
      <c r="AF23" s="57"/>
      <c r="AG23" s="57"/>
      <c r="AH23" s="57"/>
    </row>
    <row r="24" spans="1:34">
      <c r="A24" s="57"/>
      <c r="B24" s="57" t="s">
        <v>100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1.003466091602899</v>
      </c>
      <c r="AC24" s="57">
        <f>+(1+'KJ-vuosi'!B16)^(1/12)</f>
        <v>1.0033540948994528</v>
      </c>
      <c r="AD24" s="57">
        <f t="shared" si="1"/>
        <v>1.0100960722895507</v>
      </c>
      <c r="AE24" s="57"/>
      <c r="AF24" s="57"/>
      <c r="AG24" s="57"/>
      <c r="AH24" s="57"/>
    </row>
    <row r="25" spans="1:34">
      <c r="A25" s="57"/>
      <c r="B25" s="57" t="s">
        <v>101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1.003466091602899</v>
      </c>
      <c r="AC25" s="57">
        <f>+(1+'KJ-vuosi'!B16)^(1/12)</f>
        <v>1.0033540948994528</v>
      </c>
      <c r="AD25" s="57">
        <f t="shared" si="1"/>
        <v>1.0067194397515002</v>
      </c>
      <c r="AE25" s="57"/>
      <c r="AF25" s="57"/>
      <c r="AG25" s="57"/>
      <c r="AH25" s="57"/>
    </row>
    <row r="26" spans="1:34">
      <c r="A26" s="57"/>
      <c r="B26" s="57" t="s">
        <v>102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1.003466091602899</v>
      </c>
      <c r="AC26" s="57">
        <f>+(1+'KJ-vuosi'!B16)^(1/12)</f>
        <v>1.0033540948994528</v>
      </c>
      <c r="AD26" s="57">
        <f t="shared" si="1"/>
        <v>1.0033540948994528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1.003466091602899</v>
      </c>
      <c r="AC27" s="57">
        <f>+(1+'KJ-vuosi'!B16)^(1/12)</f>
        <v>1.0033540948994528</v>
      </c>
      <c r="AD27" s="57">
        <v>1</v>
      </c>
      <c r="AE27" s="57"/>
      <c r="AF27" s="57"/>
      <c r="AG27" s="57"/>
      <c r="AH27" s="57"/>
    </row>
    <row r="28" spans="1:34">
      <c r="A28" s="5" t="s">
        <v>103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4'!$F$7))/360))</f>
        <v>1</v>
      </c>
      <c r="AC28" s="57">
        <f>+(1+'KJ-vuosi'!B16)^(-1/12)</f>
        <v>0.99665711744587149</v>
      </c>
      <c r="AD28" s="57">
        <v>1</v>
      </c>
      <c r="AE28" s="57"/>
      <c r="AF28" s="57"/>
      <c r="AG28" s="57"/>
      <c r="AH28" s="57"/>
    </row>
    <row r="29" spans="1:34">
      <c r="A29" s="57"/>
      <c r="B29" s="57" t="s">
        <v>104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4'!$F$7))/360))</f>
        <v>1</v>
      </c>
      <c r="AC29" s="57">
        <f>+(1+'KJ-vuosi'!B16)^(-1/12)</f>
        <v>0.99665711744587149</v>
      </c>
      <c r="AD29" s="57">
        <f>+AC28</f>
        <v>0.99665711744587149</v>
      </c>
      <c r="AE29" s="57"/>
      <c r="AF29" s="57"/>
      <c r="AG29" s="57"/>
      <c r="AH29" s="57"/>
    </row>
    <row r="30" spans="1:34">
      <c r="A30" s="57"/>
      <c r="B30" s="57" t="s">
        <v>105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4'!$F$7))/360))</f>
        <v>1</v>
      </c>
      <c r="AC30" s="57">
        <f>+(1+'KJ-vuosi'!B16)^(-1/12)</f>
        <v>0.99665711744587149</v>
      </c>
      <c r="AD30" s="57">
        <f>+AD29*AC29</f>
        <v>0.99332540975551364</v>
      </c>
      <c r="AE30" s="57"/>
      <c r="AF30" s="57"/>
      <c r="AG30" s="57"/>
      <c r="AH30" s="57"/>
    </row>
    <row r="31" spans="1:34">
      <c r="A31" s="57"/>
      <c r="B31" s="57" t="s">
        <v>106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4'!$F$7))/360))</f>
        <v>1</v>
      </c>
      <c r="AC31" s="57">
        <f>+(1+'KJ-vuosi'!B16)^(-1/12)</f>
        <v>0.99665711744587149</v>
      </c>
      <c r="AD31" s="57">
        <f>+AD30*AC30</f>
        <v>0.99000483957266938</v>
      </c>
      <c r="AE31" s="57"/>
      <c r="AF31" s="57"/>
      <c r="AG31" s="57"/>
      <c r="AH31" s="57"/>
    </row>
    <row r="32" spans="1:34">
      <c r="A32" s="57"/>
      <c r="B32" s="57" t="s">
        <v>107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4'!$F$7))/360))</f>
        <v>1</v>
      </c>
      <c r="AC32" s="57">
        <f>+(1+'KJ-vuosi'!B16)^(-1/12)</f>
        <v>0.99665711744587149</v>
      </c>
      <c r="AD32" s="57">
        <f>+AD31*AC31</f>
        <v>0.98669536966595905</v>
      </c>
      <c r="AE32" s="57"/>
      <c r="AF32" s="57"/>
      <c r="AG32" s="57"/>
      <c r="AH32" s="57"/>
    </row>
    <row r="33" spans="1:34">
      <c r="A33" s="57"/>
      <c r="B33" s="57" t="s">
        <v>108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4'!$F$7))/360))</f>
        <v>1</v>
      </c>
      <c r="AC33" s="57">
        <f>+(1+'KJ-vuosi'!B16)^(-1/12)</f>
        <v>0.99665711744587149</v>
      </c>
      <c r="AD33" s="57">
        <f>+AD32*AC32</f>
        <v>0.98339696292846335</v>
      </c>
      <c r="AE33" s="57"/>
      <c r="AF33" s="57"/>
      <c r="AG33" s="57"/>
      <c r="AH33" s="57"/>
    </row>
    <row r="34" spans="1:34">
      <c r="A34" s="57"/>
      <c r="B34" s="57" t="s">
        <v>109</v>
      </c>
      <c r="C34" s="57"/>
      <c r="D34" s="57"/>
      <c r="E34" s="57"/>
      <c r="F34" s="74"/>
      <c r="G34" s="57"/>
      <c r="H34" s="57"/>
      <c r="I34" s="62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</row>
    <row r="35" spans="1:34">
      <c r="A35" s="57"/>
      <c r="B35" s="57"/>
      <c r="C35" s="57"/>
      <c r="D35" s="57"/>
      <c r="E35" s="57"/>
      <c r="F35" s="57"/>
      <c r="G35" s="57"/>
      <c r="H35" s="57"/>
      <c r="I35" s="62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</row>
    <row r="36" spans="1:34">
      <c r="A36" s="57" t="s">
        <v>110</v>
      </c>
      <c r="B36" s="57"/>
      <c r="C36" s="57"/>
      <c r="D36" s="57"/>
      <c r="E36" s="57"/>
      <c r="F36" s="57"/>
      <c r="G36" s="57"/>
      <c r="H36" s="57"/>
      <c r="I36" s="62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7" spans="1:34">
      <c r="A37" s="57"/>
      <c r="B37" s="57"/>
      <c r="C37" s="57"/>
      <c r="D37" s="57"/>
      <c r="E37" s="57"/>
      <c r="F37" s="57"/>
      <c r="G37" s="57"/>
      <c r="H37" s="57"/>
      <c r="I37" s="62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</row>
    <row r="38" spans="1:34" ht="18">
      <c r="A38" s="1" t="s">
        <v>111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34">
      <c r="A40" s="57" t="s">
        <v>112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</row>
    <row r="41" spans="1:34">
      <c r="A41" s="57" t="s">
        <v>151</v>
      </c>
      <c r="B41" s="57"/>
      <c r="C41" s="57"/>
      <c r="D41" s="76" t="str">
        <f>+"1.7."&amp;TEXT('KJ-vuosi'!$B$3,0)</f>
        <v>1.7.2024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</row>
    <row r="42" spans="1:34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</row>
    <row r="43" spans="1:34">
      <c r="A43" s="5" t="s">
        <v>113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</row>
    <row r="44" spans="1:34">
      <c r="A44" s="57"/>
      <c r="B44" s="57"/>
      <c r="C44" s="58" t="s">
        <v>114</v>
      </c>
      <c r="D44" s="58" t="s">
        <v>115</v>
      </c>
      <c r="E44" s="58" t="s">
        <v>116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</row>
    <row r="45" spans="1:34">
      <c r="A45" s="57"/>
      <c r="B45" s="57"/>
      <c r="C45" s="58" t="s">
        <v>117</v>
      </c>
      <c r="D45" s="77" t="s">
        <v>118</v>
      </c>
      <c r="E45" s="58" t="s">
        <v>119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  <row r="46" spans="1:34">
      <c r="A46" s="57"/>
      <c r="B46" s="57"/>
      <c r="C46" s="78"/>
      <c r="D46" s="77" t="s">
        <v>120</v>
      </c>
      <c r="E46" s="58" t="str">
        <f>+D41&amp;")"</f>
        <v>1.7.2024)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1:34">
      <c r="A47" s="57"/>
      <c r="B47" s="57"/>
      <c r="C47" s="78"/>
      <c r="D47" s="57"/>
      <c r="E47" s="7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1:34">
      <c r="A48" s="5" t="s">
        <v>121</v>
      </c>
      <c r="B48" s="57"/>
      <c r="C48" s="78"/>
      <c r="D48" s="78"/>
      <c r="E48" s="7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</row>
    <row r="49" spans="1:9">
      <c r="A49" s="57"/>
      <c r="B49" s="57"/>
      <c r="C49" s="58" t="s">
        <v>122</v>
      </c>
      <c r="D49" s="58" t="s">
        <v>122</v>
      </c>
      <c r="E49" s="58" t="s">
        <v>122</v>
      </c>
      <c r="F49" s="58"/>
      <c r="G49" s="58" t="s">
        <v>123</v>
      </c>
      <c r="H49" s="57"/>
      <c r="I49" s="57"/>
    </row>
    <row r="50" spans="1:9">
      <c r="A50" s="5"/>
      <c r="B50" s="57"/>
      <c r="C50" s="79">
        <f>'Virkamies 4'!F$6</f>
        <v>0</v>
      </c>
      <c r="D50" s="79">
        <f>'Virkamies 4'!F$8</f>
        <v>0</v>
      </c>
      <c r="E50" s="76" t="str">
        <f>$D$41</f>
        <v>1.7.2024</v>
      </c>
      <c r="F50" s="79"/>
      <c r="G50" s="58" t="s">
        <v>124</v>
      </c>
      <c r="H50" s="57"/>
      <c r="I50" s="57" t="s">
        <v>125</v>
      </c>
    </row>
    <row r="51" spans="1:9">
      <c r="A51" s="80" t="s">
        <v>126</v>
      </c>
      <c r="B51" s="57"/>
      <c r="C51" s="62">
        <f>C54-C53-C52</f>
        <v>0</v>
      </c>
      <c r="D51" s="62">
        <f>D54-D53-D52</f>
        <v>0</v>
      </c>
      <c r="E51" s="11">
        <f>ROUND(D51*(VLOOKUP(MONTH('Virkamies 4'!$F$7),aika4,4))*(VLOOKUP(MONTH('Virkamies 4'!$F$7),aika4,2)),2)</f>
        <v>0</v>
      </c>
      <c r="F51" s="57"/>
      <c r="G51" s="58" t="s">
        <v>127</v>
      </c>
      <c r="H51" s="57"/>
      <c r="I51" s="57" t="s">
        <v>128</v>
      </c>
    </row>
    <row r="52" spans="1:9">
      <c r="A52" s="80" t="s">
        <v>129</v>
      </c>
      <c r="B52" s="57"/>
      <c r="C52" s="62">
        <f>'Virkamies 4'!$F$12*12*VLOOKUP($D$40,IF(YEAR($F$6)=vuosi,'poa2024'!$F$5:$I$57,IF(YEAR($F$6)=vuosi1,vastuunjako1,vastuunjako2)),3)</f>
        <v>0</v>
      </c>
      <c r="D52" s="62">
        <f>C52*(1+0.031*((IF(DAY('Virkamies 4'!$F$8)=31,DAYS360('Virkamies 4'!$F$6,'Virkamies 4'!$F$8,TRUE)-1,DAYS360('Virkamies 4'!$F$6,'Virkamies 4'!$F$8,TRUE)))/360))</f>
        <v>0</v>
      </c>
      <c r="E52" s="81">
        <f>ROUND(D52*(VLOOKUP(MONTH('Virkamies 4'!$F$7),aika4,4))*(VLOOKUP(MONTH('Virkamies 4'!$F$7),aika4,2)),2)</f>
        <v>0</v>
      </c>
      <c r="F52" s="57"/>
      <c r="G52" s="47">
        <f>E52</f>
        <v>0</v>
      </c>
      <c r="H52" s="62"/>
      <c r="I52" s="57"/>
    </row>
    <row r="53" spans="1:9">
      <c r="A53" s="82" t="s">
        <v>130</v>
      </c>
      <c r="B53" s="83"/>
      <c r="C53" s="84">
        <f>'Virkamies 4'!$F$12*12*VLOOKUP($D$40,IF(YEAR($F$6)=vuosi,'poa2024'!$F$5:$I$57,IF(YEAR($F$6)=vuosi1,vastuunjako1,vastuunjako2)),4)</f>
        <v>0</v>
      </c>
      <c r="D53" s="84">
        <f>C53*(1+0.031*((IF(DAY('Virkamies 4'!$F$8)=31,DAYS360('Virkamies 4'!$F$6,'Virkamies 4'!$F$8,TRUE)-1,DAYS360('Virkamies 4'!$F$6,'Virkamies 4'!$F$8,TRUE)))/360))</f>
        <v>0</v>
      </c>
      <c r="E53" s="85">
        <f>ROUND(D53*(VLOOKUP(MONTH('Virkamies 4'!$F$7),aika4,4))*(VLOOKUP(MONTH('Virkamies 4'!$F$7),aika4,2)),2)</f>
        <v>0</v>
      </c>
      <c r="F53" s="57"/>
      <c r="G53" s="84">
        <f>E53</f>
        <v>0</v>
      </c>
      <c r="H53" s="57"/>
      <c r="I53" s="83"/>
    </row>
    <row r="54" spans="1:9">
      <c r="A54" s="57" t="s">
        <v>131</v>
      </c>
      <c r="B54" s="57"/>
      <c r="C54" s="62">
        <f>'Virkamies 4'!$F$12*12*VLOOKUP($D$40,IF(YEAR($F$6)=vuosi,'poa2024'!$B$5:$C$57,IF(YEAR($F$6)=vuosi1,perusturva1,perusturva2)),2)</f>
        <v>0</v>
      </c>
      <c r="D54" s="62">
        <f>C54*(1+0.031*((IF(DAY('Virkamies 4'!$F$8)=31,DAYS360('Virkamies 4'!$F$6,'Virkamies 4'!$F$8,TRUE)-1,DAYS360('Virkamies 4'!$F$6,'Virkamies 4'!$F$8,TRUE)))/360))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4'!$F$14*12*VLOOKUP($D$40,IF(YEAR($F$6)=vuosi,'poa2024'!B5:C57,IF(YEAR($F$6)=vuosi1,perusturva1,perusturva2)),2))*(1+0.031*((IF(DAY('Virkamies 4'!$F$8)=31,DAYS360('Virkamies 4'!$F$6,'Virkamies 4'!$F$8,TRUE)-1,DAYS360('Virkamies 4'!$F$6,'Virkamies 4'!$F$8,TRUE)))/360))*(VLOOKUP(MONTH('Virkamies 4'!$F$7),aika1,4))*(VLOOKUP(MONTH('Virkamies 4'!$F$7),aika1,2))),2)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132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122</v>
      </c>
      <c r="D57" s="58" t="s">
        <v>122</v>
      </c>
      <c r="E57" s="58" t="s">
        <v>122</v>
      </c>
      <c r="F57" s="57"/>
      <c r="G57" s="57"/>
      <c r="H57" s="57"/>
      <c r="I57" s="57"/>
    </row>
    <row r="58" spans="1:9">
      <c r="A58" s="5"/>
      <c r="B58" s="57"/>
      <c r="C58" s="79">
        <f>'Virkamies 4'!F$6</f>
        <v>0</v>
      </c>
      <c r="D58" s="79">
        <f>'Virkamies 4'!F$8</f>
        <v>0</v>
      </c>
      <c r="E58" s="76" t="str">
        <f>$D$41</f>
        <v>1.7.2024</v>
      </c>
      <c r="F58" s="57"/>
      <c r="G58" s="57"/>
      <c r="H58" s="57"/>
      <c r="I58" s="57"/>
    </row>
    <row r="59" spans="1:9">
      <c r="A59" s="80" t="s">
        <v>126</v>
      </c>
      <c r="B59" s="57"/>
      <c r="C59" s="62">
        <f>C62-C61-C60</f>
        <v>0</v>
      </c>
      <c r="D59" s="62">
        <f>D62-D61-D60</f>
        <v>0</v>
      </c>
      <c r="E59" s="11">
        <f>ROUND(D59*(VLOOKUP(MONTH('Virkamies 4'!$F$7),aika4,4))*(VLOOKUP(MONTH('Virkamies 4'!$F$7),aika4,2)),2)</f>
        <v>0</v>
      </c>
      <c r="F59" s="57"/>
      <c r="G59" s="57"/>
      <c r="H59" s="57"/>
      <c r="I59" s="57"/>
    </row>
    <row r="60" spans="1:9">
      <c r="A60" s="80" t="s">
        <v>129</v>
      </c>
      <c r="B60" s="57"/>
      <c r="C60" s="62">
        <f>'Virkamies 4'!$F$13*12*VLOOKUP($D$40,IF(YEAR($F$6)=vuosi,'poa2024'!$F$5:$I$57,IF(YEAR($F$6)=vuosi1,vastuunjako1,vastuunjako2)),3)</f>
        <v>0</v>
      </c>
      <c r="D60" s="62">
        <f>C60*(1+0.031*((IF(DAY('Virkamies 4'!$F$8)=31,DAYS360('Virkamies 4'!$F$6,'Virkamies 4'!$F$8,TRUE)-1,DAYS360('Virkamies 4'!$F$6,'Virkamies 4'!$F$8,TRUE)))/360))</f>
        <v>0</v>
      </c>
      <c r="E60" s="81">
        <f>ROUND(D60*(VLOOKUP(MONTH('Virkamies 4'!$F$7),aika4,4))*(VLOOKUP(MONTH('Virkamies 4'!$F$7),aika4,2)),2)</f>
        <v>0</v>
      </c>
      <c r="F60" s="57"/>
      <c r="G60" s="57"/>
      <c r="H60" s="57"/>
      <c r="I60" s="57"/>
    </row>
    <row r="61" spans="1:9">
      <c r="A61" s="82" t="s">
        <v>130</v>
      </c>
      <c r="B61" s="83"/>
      <c r="C61" s="84">
        <f>'Virkamies 4'!$F$13*12*VLOOKUP($D$40,IF(YEAR($F$6)=vuosi,'poa2024'!$F$5:$I$57,IF(YEAR($F$6)=vuosi1,vastuunjako1,vastuunjako2)),4)</f>
        <v>0</v>
      </c>
      <c r="D61" s="84">
        <f>C61*(1+0.031*((IF(DAY('Virkamies 4'!$F$8)=31,DAYS360('Virkamies 4'!$F$6,'Virkamies 4'!$F$8,TRUE)-1,DAYS360('Virkamies 4'!$F$6,'Virkamies 4'!$F$8,TRUE)))/360))</f>
        <v>0</v>
      </c>
      <c r="E61" s="85">
        <f>ROUND(D61*(VLOOKUP(MONTH('Virkamies 4'!$F$7),aika4,4))*(VLOOKUP(MONTH('Virkamies 4'!$F$7),aika4,2)),2)</f>
        <v>0</v>
      </c>
      <c r="F61" s="57"/>
      <c r="G61" s="57"/>
      <c r="H61" s="57"/>
      <c r="I61" s="57"/>
    </row>
    <row r="62" spans="1:9">
      <c r="A62" s="57" t="s">
        <v>131</v>
      </c>
      <c r="B62" s="57"/>
      <c r="C62" s="62">
        <f>'Virkamies 4'!$F$13*12*VLOOKUP($D$40,IF(YEAR($F$6)=vuosi,'poa2024'!$B$5:$C$57,IF(YEAR($F$6)=vuosi1,perusturva1,perusturva2)),2)</f>
        <v>0</v>
      </c>
      <c r="D62" s="62">
        <f>C62*(1+0.031*((IF(DAY('Virkamies 4'!$F$8)=31,DAYS360('Virkamies 4'!$F$6,'Virkamies 4'!$F$8,TRUE)-1,DAYS360('Virkamies 4'!$F$6,'Virkamies 4'!$F$8,TRUE)))/360))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133</v>
      </c>
      <c r="B64" s="57"/>
      <c r="C64" s="62"/>
      <c r="D64" s="57"/>
      <c r="E64" s="57"/>
      <c r="F64" s="57"/>
      <c r="G64" s="57"/>
      <c r="H64" s="57"/>
      <c r="I64" s="57"/>
    </row>
    <row r="65" spans="1:11">
      <c r="A65" s="5"/>
      <c r="B65" s="57"/>
      <c r="C65" s="58" t="s">
        <v>122</v>
      </c>
      <c r="D65" s="58" t="s">
        <v>122</v>
      </c>
      <c r="E65" s="58" t="s">
        <v>122</v>
      </c>
      <c r="F65" s="57"/>
      <c r="G65" s="58" t="s">
        <v>123</v>
      </c>
      <c r="H65" s="57"/>
      <c r="I65" s="57"/>
      <c r="J65" s="57"/>
      <c r="K65" s="57"/>
    </row>
    <row r="66" spans="1:11">
      <c r="A66" s="5"/>
      <c r="B66" s="57"/>
      <c r="C66" s="79">
        <f>'Virkamies 4'!F$6</f>
        <v>0</v>
      </c>
      <c r="D66" s="79">
        <f>'Virkamies 4'!F$8</f>
        <v>0</v>
      </c>
      <c r="E66" s="76" t="str">
        <f>$D$41</f>
        <v>1.7.2024</v>
      </c>
      <c r="F66" s="57"/>
      <c r="G66" s="58" t="s">
        <v>134</v>
      </c>
      <c r="H66" s="57"/>
      <c r="I66" s="57"/>
      <c r="J66" s="57"/>
      <c r="K66" s="57"/>
    </row>
    <row r="67" spans="1:11">
      <c r="A67" s="80" t="s">
        <v>126</v>
      </c>
      <c r="B67" s="57"/>
      <c r="C67" s="62">
        <f>C70-C69-C68</f>
        <v>0</v>
      </c>
      <c r="D67" s="62">
        <f>D70-D69-D68</f>
        <v>0</v>
      </c>
      <c r="E67" s="11">
        <f>ROUND(D67*(VLOOKUP(MONTH('Virkamies 4'!$F$7),aikaYEL4,4))*(VLOOKUP(MONTH('Virkamies 4'!$F$7),aikaYEL4,2)),2)</f>
        <v>0</v>
      </c>
      <c r="F67" s="57"/>
      <c r="G67" s="58" t="s">
        <v>135</v>
      </c>
      <c r="H67" s="57"/>
      <c r="I67" s="57"/>
      <c r="J67" s="57"/>
      <c r="K67" s="57"/>
    </row>
    <row r="68" spans="1:11">
      <c r="A68" s="80" t="s">
        <v>129</v>
      </c>
      <c r="B68" s="57"/>
      <c r="C68" s="62">
        <f>'Virkamies 4'!$F$15*12*VLOOKUP($D$40,IF(YEAR($F$6)=vuosi,'poa2024'!$F$5:$I$57,IF(YEAR($F$6)=vuosi1,vastuunjako1,vastuunjako2)),3)</f>
        <v>0</v>
      </c>
      <c r="D68" s="62">
        <f>C68*(1+0.031*((IF(DAY('Virkamies 4'!$F$8)=31,DAYS360('Virkamies 4'!$F$6,'Virkamies 4'!$F$8,TRUE)-1,DAYS360('Virkamies 4'!$F$6,'Virkamies 4'!$F$8,TRUE)))/360))</f>
        <v>0</v>
      </c>
      <c r="E68" s="81">
        <f>ROUND(D68*(VLOOKUP(MONTH('Virkamies 4'!$F$7),aikaYEL4,4))*(VLOOKUP(MONTH('Virkamies 4'!$F$7),aikaYEL4,2)),2)</f>
        <v>0</v>
      </c>
      <c r="F68" s="57"/>
      <c r="G68" s="62">
        <f>E68</f>
        <v>0</v>
      </c>
      <c r="H68" s="57"/>
      <c r="I68" s="57"/>
      <c r="J68" s="57"/>
      <c r="K68" s="57"/>
    </row>
    <row r="69" spans="1:11">
      <c r="A69" s="82" t="s">
        <v>130</v>
      </c>
      <c r="B69" s="83"/>
      <c r="C69" s="84">
        <f>'Virkamies 4'!$F$15*12*VLOOKUP($D$40,IF(YEAR($F$6)=vuosi,'poa2024'!$F$5:$I$57,IF(YEAR($F$6)=vuosi1,vastuunjako1,vastuunjako2)),4)</f>
        <v>0</v>
      </c>
      <c r="D69" s="84">
        <f>C69*(1+0.031*((IF(DAY('Virkamies 4'!$F$8)=31,DAYS360('Virkamies 4'!$F$6,'Virkamies 4'!$F$8,TRUE)-1,DAYS360('Virkamies 4'!$F$6,'Virkamies 4'!$F$8,TRUE)))/360))</f>
        <v>0</v>
      </c>
      <c r="E69" s="85">
        <f>ROUND(D69*(VLOOKUP(MONTH('Virkamies 4'!$F$7),aikaYEL4,4))*(VLOOKUP(MONTH('Virkamies 4'!$F$7),aikaYEL4,2)),2)</f>
        <v>0</v>
      </c>
      <c r="F69" s="57"/>
      <c r="G69" s="84">
        <f>E69</f>
        <v>0</v>
      </c>
      <c r="H69" s="57"/>
      <c r="I69" s="57"/>
      <c r="J69" s="57"/>
      <c r="K69" s="57"/>
    </row>
    <row r="70" spans="1:11">
      <c r="A70" s="57" t="s">
        <v>131</v>
      </c>
      <c r="B70" s="57"/>
      <c r="C70" s="62">
        <f>'Virkamies 4'!$F$15*12*VLOOKUP($D$40,IF(YEAR($F$6)=vuosi,'poa2024'!$B$5:$C$57,IF(YEAR($F$6)=vuosi1,perusturva1,perusturva2)),2)</f>
        <v>0</v>
      </c>
      <c r="D70" s="62">
        <f>C70*(1+0.031*((IF(DAY('Virkamies 4'!$F$8)=31,DAYS360('Virkamies 4'!$F$6,'Virkamies 4'!$F$8,TRUE)-1,DAYS360('Virkamies 4'!$F$6,'Virkamies 4'!$F$8,TRUE)))/360))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</row>
    <row r="71" spans="1:11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</row>
    <row r="72" spans="1:11">
      <c r="A72" s="5" t="s">
        <v>136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</row>
    <row r="73" spans="1:11">
      <c r="A73" s="5"/>
      <c r="B73" s="57"/>
      <c r="C73" s="58" t="s">
        <v>122</v>
      </c>
      <c r="D73" s="58" t="s">
        <v>122</v>
      </c>
      <c r="E73" s="58" t="s">
        <v>122</v>
      </c>
      <c r="F73" s="57"/>
      <c r="G73" s="58"/>
      <c r="H73" s="57"/>
      <c r="I73" s="57"/>
      <c r="J73" s="57"/>
      <c r="K73" s="57"/>
    </row>
    <row r="74" spans="1:11">
      <c r="A74" s="5"/>
      <c r="B74" s="57"/>
      <c r="C74" s="79">
        <f>'Virkamies 4'!F$6</f>
        <v>0</v>
      </c>
      <c r="D74" s="79">
        <f>'Virkamies 4'!F$8</f>
        <v>0</v>
      </c>
      <c r="E74" s="76" t="str">
        <f>$D$41</f>
        <v>1.7.2024</v>
      </c>
      <c r="F74" s="57"/>
      <c r="G74" s="58"/>
      <c r="H74" s="57"/>
      <c r="I74" s="57"/>
      <c r="J74" s="57"/>
      <c r="K74" s="57"/>
    </row>
    <row r="75" spans="1:11">
      <c r="A75" s="80" t="s">
        <v>126</v>
      </c>
      <c r="B75" s="57"/>
      <c r="C75" s="62">
        <f>C78-C77-C76</f>
        <v>0</v>
      </c>
      <c r="D75" s="62">
        <f>D78-D77-D76</f>
        <v>0</v>
      </c>
      <c r="E75" s="11">
        <f>ROUND(D75*(VLOOKUP(MONTH('Virkamies 4'!$F$7),aika4,4))*(VLOOKUP(MONTH('Virkamies 4'!$F$7),aika4,2)),2)</f>
        <v>0</v>
      </c>
      <c r="F75" s="57"/>
      <c r="G75" s="58"/>
      <c r="H75" s="57"/>
      <c r="I75" s="57"/>
      <c r="J75" s="57"/>
      <c r="K75" s="57"/>
    </row>
    <row r="76" spans="1:11">
      <c r="A76" s="80" t="s">
        <v>129</v>
      </c>
      <c r="B76" s="57"/>
      <c r="C76" s="62">
        <f>'Virkamies 4'!$F$16*12*VLOOKUP($D$40,IF(YEAR($F$6)=vuosi,'poa2024'!$F$5:$I$57,IF(YEAR($F$6)=vuosi1,vastuunjako1,vastuunjako2)),3)</f>
        <v>0</v>
      </c>
      <c r="D76" s="62">
        <f>C76*(1+0.031*((IF(DAY('Virkamies 4'!$F$8)=31,DAYS360('Virkamies 4'!$F$6,'Virkamies 4'!$F$8,TRUE)-1,DAYS360('Virkamies 4'!$F$6,'Virkamies 4'!$F$8,TRUE)))/360))</f>
        <v>0</v>
      </c>
      <c r="E76" s="11">
        <f>ROUND(D76*(VLOOKUP(MONTH('Virkamies 4'!$F$7),aika4,4))*(VLOOKUP(MONTH('Virkamies 4'!$F$7),aika4,2)),2)</f>
        <v>0</v>
      </c>
      <c r="F76" s="57"/>
      <c r="G76" s="58"/>
      <c r="H76" s="57"/>
      <c r="I76" s="57"/>
      <c r="J76" s="57"/>
      <c r="K76" s="57"/>
    </row>
    <row r="77" spans="1:11">
      <c r="A77" s="82" t="s">
        <v>130</v>
      </c>
      <c r="B77" s="83"/>
      <c r="C77" s="84">
        <f>'Virkamies 4'!$F$16*12*VLOOKUP($D$40,IF(YEAR($F$6)=vuosi,'poa2024'!$F$5:$I$57,IF(YEAR($F$6)=vuosi1,vastuunjako1,vastuunjako2)),4)</f>
        <v>0</v>
      </c>
      <c r="D77" s="84">
        <f>C77*(1+0.031*((IF(DAY('Virkamies 4'!$F$8)=31,DAYS360('Virkamies 4'!$F$6,'Virkamies 4'!$F$8,TRUE)-1,DAYS360('Virkamies 4'!$F$6,'Virkamies 4'!$F$8,TRUE)))/360))</f>
        <v>0</v>
      </c>
      <c r="E77" s="48">
        <f>ROUND(D77*(VLOOKUP(MONTH('Virkamies 4'!$F$7),aika4,4))*(VLOOKUP(MONTH('Virkamies 4'!$F$7),aika4,2)),2)</f>
        <v>0</v>
      </c>
      <c r="F77" s="57"/>
      <c r="G77" s="58"/>
      <c r="H77" s="57"/>
      <c r="I77" s="57"/>
      <c r="J77" s="57"/>
      <c r="K77" s="57"/>
    </row>
    <row r="78" spans="1:11">
      <c r="A78" s="57" t="s">
        <v>131</v>
      </c>
      <c r="B78" s="57"/>
      <c r="C78" s="62">
        <f>'Virkamies 4'!$F$16*12*VLOOKUP($D$40,IF(YEAR($F$6)=vuosi,'poa2024'!$B$5:$C$57,IF(YEAR($F$6)=vuosi1,perusturva1,perusturva2)),2)</f>
        <v>0</v>
      </c>
      <c r="D78" s="62">
        <f>C78*(1+0.031*((IF(DAY('Virkamies 4'!$F$8)=31,DAYS360('Virkamies 4'!$F$6,'Virkamies 4'!$F$8,TRUE)-1,DAYS360('Virkamies 4'!$F$6,'Virkamies 4'!$F$8,TRUE)))/360))</f>
        <v>0</v>
      </c>
      <c r="E78" s="62">
        <f>SUM(E75:E77)</f>
        <v>0</v>
      </c>
      <c r="F78" s="25"/>
      <c r="G78" s="58"/>
      <c r="H78" s="86" t="s">
        <v>137</v>
      </c>
      <c r="I78" s="57" t="s">
        <v>138</v>
      </c>
      <c r="J78" s="57"/>
      <c r="K78" s="57"/>
    </row>
    <row r="79" spans="1:11">
      <c r="A79" s="57"/>
      <c r="B79" s="57"/>
      <c r="C79" s="62"/>
      <c r="D79" s="62"/>
      <c r="E79" s="62"/>
      <c r="F79" s="57"/>
      <c r="G79" s="58"/>
      <c r="H79" s="58"/>
      <c r="I79" s="57" t="s">
        <v>139</v>
      </c>
      <c r="J79" s="57"/>
      <c r="K79" s="57"/>
    </row>
    <row r="80" spans="1:11">
      <c r="A80" s="5" t="s">
        <v>145</v>
      </c>
      <c r="B80" s="57"/>
      <c r="C80" s="62">
        <f>'Virkamies 4'!$F$21*12*VLOOKUP($D$40,IF(YEAR($F$6)=vuosi,'poa2024'!$B$62:$E$114,IF(YEAR($F$6)=vuosi1,lisäturva1,lisäturva2)),2)+'Virkamies 4'!$F$22*12*VLOOKUP($D$40,IF(YEAR($F$6)=vuosi,'poa2024'!$B$62:$E$114,IF(YEAR($F$6)=vuosi1,lisäturva1,lisäturva2)),IF('Virkamies 4'!$F$23="LL",3,4))</f>
        <v>0</v>
      </c>
      <c r="D80" s="62">
        <f>C80*(1+0.031*((IF(DAY('Virkamies 4'!$F$8)=31,DAYS360('Virkamies 4'!$F$6,'Virkamies 4'!$F$8,TRUE)-1,DAYS360('Virkamies 4'!$F$6,'Virkamies 4'!$F$8,TRUE)))/360))</f>
        <v>0</v>
      </c>
      <c r="E80" s="11">
        <f>ROUND(D80*(VLOOKUP(MONTH('Virkamies 4'!$F$7),aika4,4))*(VLOOKUP(MONTH('Virkamies 4'!$F$7),aika4,2)),2)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</row>
    <row r="81" spans="1:11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</row>
    <row r="82" spans="1:11">
      <c r="A82" s="5" t="s">
        <v>146</v>
      </c>
      <c r="B82" s="57"/>
      <c r="C82" s="62">
        <f>'Virkamies 4'!$F$24*12*VLOOKUP($D$40,IF(YEAR($F$6)=vuosi,'poa2024'!$B$62:$E$114,IF(YEAR($F$6)=vuosi1,lisäturva1,lisäturva2)),2)+'Virkamies 4'!$F$25*12*VLOOKUP($D$40,IF(YEAR($F$6)=vuosi,'poa2024'!$B$62:$E$114,IF(YEAR($F$6)=vuosi1,lisäturva1,lisäturva2)),IF('Virkamies 4'!$F$26="LL",3,4))</f>
        <v>0</v>
      </c>
      <c r="D82" s="62">
        <f>C82*(1+0.031*((IF(DAY('Virkamies 4'!$F$8)=31,DAYS360('Virkamies 4'!$F$6,'Virkamies 4'!$F$8,TRUE)-1,DAYS360('Virkamies 4'!$F$6,'Virkamies 4'!$F$8,TRUE)))/360))</f>
        <v>0</v>
      </c>
      <c r="E82" s="11">
        <f>ROUND(D82*(VLOOKUP(MONTH('Virkamies 4'!$F$7),aikaYEL4,4))*(VLOOKUP(MONTH('Virkamies 4'!$F$7),aikaYEL4,2)),2)</f>
        <v>0</v>
      </c>
      <c r="F82" s="57"/>
      <c r="G82" s="86"/>
      <c r="H82" s="57"/>
      <c r="I82" s="57"/>
      <c r="J82" s="57"/>
      <c r="K82" s="57"/>
    </row>
    <row r="83" spans="1:11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</row>
    <row r="84" spans="1:11">
      <c r="A84" s="5" t="s">
        <v>142</v>
      </c>
      <c r="B84" s="57"/>
      <c r="C84" s="62">
        <f>'Virkamies 4'!$F$17*12*VLOOKUP($D$40,IF(YEAR($F$6)=vuosi,'poa2024'!$B$5:$C$57,IF(YEAR($F$6)=vuosi1,perusturva1,perusturva2)),2)</f>
        <v>0</v>
      </c>
      <c r="D84" s="62">
        <f>ROUND(+C84*(1+0.031*((DAYS360($F$6,$F$8))/360)),2)</f>
        <v>0</v>
      </c>
      <c r="E84" s="11">
        <f>ROUND(D84*(VLOOKUP(MONTH('Virkamies 4'!$F$7),aika4,4))*(VLOOKUP(MONTH('Virkamies 4'!$F$7),aika4,2)),2)</f>
        <v>0</v>
      </c>
      <c r="F84" s="25"/>
      <c r="G84" s="62"/>
      <c r="H84" s="57"/>
      <c r="I84" s="62"/>
      <c r="J84" s="57"/>
      <c r="K84" s="57"/>
    </row>
    <row r="85" spans="1:11">
      <c r="A85" s="57"/>
      <c r="B85" s="57"/>
      <c r="C85" s="62"/>
      <c r="D85" s="62"/>
      <c r="E85" s="62"/>
      <c r="F85" s="62"/>
      <c r="G85" s="62"/>
      <c r="H85" s="57"/>
      <c r="I85" s="57"/>
      <c r="J85" s="57"/>
      <c r="K85" s="57"/>
    </row>
    <row r="86" spans="1:11">
      <c r="A86" s="5" t="s">
        <v>131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57"/>
      <c r="J86" s="57"/>
      <c r="K86" s="57"/>
    </row>
    <row r="87" spans="1:11">
      <c r="A87" s="57"/>
      <c r="B87" s="57"/>
      <c r="C87" s="57"/>
      <c r="D87" s="57"/>
      <c r="E87" s="62"/>
      <c r="F87" s="57"/>
      <c r="G87" s="57"/>
      <c r="H87" s="57"/>
      <c r="I87" s="57"/>
      <c r="J87" s="57"/>
      <c r="K87" s="57"/>
    </row>
    <row r="88" spans="1:11">
      <c r="A88" s="57"/>
      <c r="B88" s="80"/>
      <c r="C88" s="57"/>
      <c r="D88" s="57"/>
      <c r="E88" s="27"/>
      <c r="F88" s="26"/>
      <c r="G88" s="57"/>
      <c r="H88" s="57"/>
      <c r="I88" s="57"/>
      <c r="J88" s="57"/>
      <c r="K88" s="57"/>
    </row>
    <row r="89" spans="1:11">
      <c r="A89" s="57"/>
      <c r="B89" s="80"/>
      <c r="C89" s="57"/>
      <c r="D89" s="57"/>
      <c r="E89" s="57"/>
      <c r="F89" s="57"/>
      <c r="G89" s="57"/>
      <c r="H89" s="57"/>
      <c r="I89" s="57"/>
      <c r="J89" s="57"/>
      <c r="K89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10"/>
  <dimension ref="A1:AH90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0.85546875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143</v>
      </c>
      <c r="AC1" s="58" t="s">
        <v>77</v>
      </c>
      <c r="AD1" s="57" t="s">
        <v>78</v>
      </c>
      <c r="AE1" s="57"/>
      <c r="AF1" s="57"/>
      <c r="AG1" s="57"/>
      <c r="AH1" s="65" t="str">
        <f>LEFT(F5,2)&amp;"."&amp;MID(F5,3,2)&amp;".19"&amp;MID(F5,5,2)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>
      <c r="A3" s="5" t="s">
        <v>80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1.003466091602899</v>
      </c>
      <c r="AC3" s="57">
        <f>+(1+'KJ-vuosi'!B4)^(1/12)</f>
        <v>1.0033540948994528</v>
      </c>
      <c r="AD3" s="57">
        <f>AC4*AD4</f>
        <v>1.0168833519905274</v>
      </c>
      <c r="AE3" s="57"/>
      <c r="AF3" s="57"/>
      <c r="AG3" s="57"/>
      <c r="AH3" s="57"/>
    </row>
    <row r="4" spans="1:34">
      <c r="A4" s="5"/>
      <c r="B4" s="57" t="s">
        <v>82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1.003466091602899</v>
      </c>
      <c r="AC4" s="57">
        <f>+(1+'KJ-vuosi'!B5)^(1/12)</f>
        <v>1.0033540948994528</v>
      </c>
      <c r="AD4" s="57">
        <f t="shared" ref="AD4:AD7" si="0">AC5*AD5</f>
        <v>1.0134840303735744</v>
      </c>
      <c r="AE4" s="57"/>
      <c r="AF4" s="57"/>
      <c r="AG4" s="57"/>
      <c r="AH4" s="57"/>
    </row>
    <row r="5" spans="1:34">
      <c r="A5" s="57"/>
      <c r="B5" s="57" t="s">
        <v>83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1.003466091602899</v>
      </c>
      <c r="AC5" s="57">
        <f>+(1+'KJ-vuosi'!B6)^(1/12)</f>
        <v>1.0033540948994528</v>
      </c>
      <c r="AD5" s="57">
        <f t="shared" si="0"/>
        <v>1.0100960722895507</v>
      </c>
      <c r="AE5" s="57"/>
      <c r="AF5" s="57"/>
      <c r="AG5" s="57"/>
      <c r="AH5" s="57"/>
    </row>
    <row r="6" spans="1:34">
      <c r="A6" s="57"/>
      <c r="B6" s="57" t="s">
        <v>84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1.003466091602899</v>
      </c>
      <c r="AC6" s="57">
        <f>+(1+'KJ-vuosi'!B7)^(1/12)</f>
        <v>1.0033540948994528</v>
      </c>
      <c r="AD6" s="57">
        <f t="shared" si="0"/>
        <v>1.0067194397515002</v>
      </c>
      <c r="AE6" s="57"/>
      <c r="AF6" s="57"/>
      <c r="AG6" s="57"/>
      <c r="AH6" s="57"/>
    </row>
    <row r="7" spans="1:34">
      <c r="A7" s="57"/>
      <c r="B7" s="57" t="s">
        <v>85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1.003466091602899</v>
      </c>
      <c r="AC7" s="57">
        <f>+(1+'KJ-vuosi'!B8)^(1/12)</f>
        <v>1.0033540948994528</v>
      </c>
      <c r="AD7" s="57">
        <f t="shared" si="0"/>
        <v>1.0033540948994528</v>
      </c>
      <c r="AE7" s="57"/>
      <c r="AF7" s="57"/>
      <c r="AG7" s="57"/>
      <c r="AH7" s="57"/>
    </row>
    <row r="8" spans="1:34">
      <c r="A8" s="57"/>
      <c r="B8" s="57" t="s">
        <v>86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1.003466091602899</v>
      </c>
      <c r="AC8" s="57">
        <f>+(1+'KJ-vuosi'!B9)^(1/12)</f>
        <v>1.0033540948994528</v>
      </c>
      <c r="AD8" s="57">
        <v>1</v>
      </c>
      <c r="AE8" s="57"/>
      <c r="AF8" s="57"/>
      <c r="AG8" s="57"/>
      <c r="AH8" s="57"/>
    </row>
    <row r="9" spans="1:34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5'!$F$7))/360))</f>
        <v>1</v>
      </c>
      <c r="AC9" s="57">
        <f>+(1+'KJ-vuosi'!B10)^(-1/12)</f>
        <v>0.99693686989174457</v>
      </c>
      <c r="AD9" s="57">
        <v>1</v>
      </c>
      <c r="AE9" s="57"/>
      <c r="AF9" s="57"/>
      <c r="AG9" s="57"/>
      <c r="AH9" s="57"/>
    </row>
    <row r="10" spans="1:34">
      <c r="A10" s="5" t="s">
        <v>87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5'!$F$7))/360))</f>
        <v>1</v>
      </c>
      <c r="AC10" s="57">
        <f>+(1+'KJ-vuosi'!B11)^(-1/12)</f>
        <v>0.99693686989174457</v>
      </c>
      <c r="AD10" s="57">
        <f>+AC9</f>
        <v>0.99693686989174457</v>
      </c>
      <c r="AE10" s="57"/>
      <c r="AF10" s="57"/>
      <c r="AG10" s="57"/>
      <c r="AH10" s="57"/>
    </row>
    <row r="11" spans="1:34">
      <c r="A11" s="5" t="s">
        <v>88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5'!$F$7))/360))</f>
        <v>1</v>
      </c>
      <c r="AC11" s="57">
        <f>+(1+'KJ-vuosi'!B12)^(-1/12)</f>
        <v>0.99693686989174457</v>
      </c>
      <c r="AD11" s="57">
        <f>+AD10*AC10</f>
        <v>0.99388312254954925</v>
      </c>
      <c r="AE11" s="57"/>
      <c r="AF11" s="57"/>
      <c r="AG11" s="57"/>
      <c r="AH11" s="57"/>
    </row>
    <row r="12" spans="1:34">
      <c r="A12" s="57"/>
      <c r="B12" s="57" t="s">
        <v>89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5'!$F$7))/360))</f>
        <v>1</v>
      </c>
      <c r="AC12" s="57">
        <f>+(1+'KJ-vuosi'!B13)^(-1/12)</f>
        <v>0.99693686989174457</v>
      </c>
      <c r="AD12" s="57">
        <f>+AD11*AC11</f>
        <v>0.99083872923278082</v>
      </c>
      <c r="AE12" s="57"/>
      <c r="AF12" s="57"/>
      <c r="AG12" s="57"/>
      <c r="AH12" s="57"/>
    </row>
    <row r="13" spans="1:34">
      <c r="A13" s="57"/>
      <c r="B13" s="57" t="s">
        <v>90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5'!$F$7))/360))</f>
        <v>1</v>
      </c>
      <c r="AC13" s="57">
        <f>+(1+'KJ-vuosi'!B14)^(-1/12)</f>
        <v>0.99693686989174457</v>
      </c>
      <c r="AD13" s="57">
        <f>+AD12*AC12</f>
        <v>0.98780366128884234</v>
      </c>
      <c r="AE13" s="57"/>
      <c r="AF13" s="57"/>
      <c r="AG13" s="57"/>
      <c r="AH13" s="57"/>
    </row>
    <row r="14" spans="1:34">
      <c r="A14" s="57"/>
      <c r="B14" s="57" t="s">
        <v>144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5'!$F$7))/360))</f>
        <v>1</v>
      </c>
      <c r="AC14" s="57">
        <f>+(1+'KJ-vuosi'!B15)^(-1/12)</f>
        <v>0.99693686989174457</v>
      </c>
      <c r="AD14" s="57">
        <f>+AD13*AC13</f>
        <v>0.98477789015290351</v>
      </c>
      <c r="AE14" s="57"/>
      <c r="AF14" s="57"/>
      <c r="AG14" s="57"/>
      <c r="AH14" s="57"/>
    </row>
    <row r="15" spans="1:34">
      <c r="A15" s="57"/>
      <c r="B15" s="57" t="s">
        <v>92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93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94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95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88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76</v>
      </c>
      <c r="AC20" s="57" t="s">
        <v>77</v>
      </c>
      <c r="AD20" s="57" t="s">
        <v>78</v>
      </c>
      <c r="AE20" s="57"/>
      <c r="AF20" s="57"/>
      <c r="AG20" s="57"/>
      <c r="AH20" s="65" t="str">
        <f>LEFT(F5,2)&amp;"."&amp;MID(F5,3,2)&amp;".19"&amp;MID(F5,5,2)</f>
        <v>..19</v>
      </c>
    </row>
    <row r="21" spans="1:34">
      <c r="A21" s="57"/>
      <c r="B21" s="57" t="s">
        <v>96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79</v>
      </c>
      <c r="AC21" s="57"/>
      <c r="AD21" s="57"/>
      <c r="AE21" s="57"/>
      <c r="AF21" s="57"/>
      <c r="AG21" s="57"/>
      <c r="AH21" s="57"/>
    </row>
    <row r="22" spans="1:34">
      <c r="A22" s="57"/>
      <c r="B22" s="57" t="s">
        <v>97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98</v>
      </c>
      <c r="AA22" s="57">
        <v>1</v>
      </c>
      <c r="AB22" s="66">
        <f>(1+'KJ-vuosi'!$B$16)^((31-DAY($F$7))/360)</f>
        <v>1.003466091602899</v>
      </c>
      <c r="AC22" s="57">
        <f>+(1+'KJ-vuosi'!B16)^(1/12)</f>
        <v>1.0033540948994528</v>
      </c>
      <c r="AD22" s="57">
        <f>AC23*AD23</f>
        <v>1.0168833519905274</v>
      </c>
      <c r="AE22" s="57"/>
      <c r="AF22" s="57"/>
      <c r="AG22" s="57"/>
      <c r="AH22" s="57"/>
    </row>
    <row r="23" spans="1:34">
      <c r="A23" s="57"/>
      <c r="B23" s="57" t="s">
        <v>99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1.003466091602899</v>
      </c>
      <c r="AC23" s="57">
        <f>+(1+'KJ-vuosi'!B16)^(1/12)</f>
        <v>1.0033540948994528</v>
      </c>
      <c r="AD23" s="57">
        <f t="shared" ref="AD23:AD26" si="1">AC24*AD24</f>
        <v>1.0134840303735744</v>
      </c>
      <c r="AE23" s="57"/>
      <c r="AF23" s="57"/>
      <c r="AG23" s="57"/>
      <c r="AH23" s="57"/>
    </row>
    <row r="24" spans="1:34">
      <c r="A24" s="57"/>
      <c r="B24" s="57" t="s">
        <v>100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1.003466091602899</v>
      </c>
      <c r="AC24" s="57">
        <f>+(1+'KJ-vuosi'!B16)^(1/12)</f>
        <v>1.0033540948994528</v>
      </c>
      <c r="AD24" s="57">
        <f t="shared" si="1"/>
        <v>1.0100960722895507</v>
      </c>
      <c r="AE24" s="57"/>
      <c r="AF24" s="57"/>
      <c r="AG24" s="57"/>
      <c r="AH24" s="57"/>
    </row>
    <row r="25" spans="1:34">
      <c r="A25" s="57"/>
      <c r="B25" s="57" t="s">
        <v>101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1.003466091602899</v>
      </c>
      <c r="AC25" s="57">
        <f>+(1+'KJ-vuosi'!B16)^(1/12)</f>
        <v>1.0033540948994528</v>
      </c>
      <c r="AD25" s="57">
        <f t="shared" si="1"/>
        <v>1.0067194397515002</v>
      </c>
      <c r="AE25" s="57"/>
      <c r="AF25" s="57"/>
      <c r="AG25" s="57"/>
      <c r="AH25" s="57"/>
    </row>
    <row r="26" spans="1:34">
      <c r="A26" s="57"/>
      <c r="B26" s="57" t="s">
        <v>102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1.003466091602899</v>
      </c>
      <c r="AC26" s="57">
        <f>+(1+'KJ-vuosi'!B16)^(1/12)</f>
        <v>1.0033540948994528</v>
      </c>
      <c r="AD26" s="57">
        <f t="shared" si="1"/>
        <v>1.0033540948994528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1.003466091602899</v>
      </c>
      <c r="AC27" s="57">
        <f>+(1+'KJ-vuosi'!B16)^(1/12)</f>
        <v>1.0033540948994528</v>
      </c>
      <c r="AD27" s="57">
        <v>1</v>
      </c>
      <c r="AE27" s="57"/>
      <c r="AF27" s="57"/>
      <c r="AG27" s="57"/>
      <c r="AH27" s="57"/>
    </row>
    <row r="28" spans="1:34">
      <c r="A28" s="5" t="s">
        <v>103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5'!$F$7))/360))</f>
        <v>1</v>
      </c>
      <c r="AC28" s="57">
        <f>+(1+'KJ-vuosi'!B16)^(-1/12)</f>
        <v>0.99665711744587149</v>
      </c>
      <c r="AD28" s="57">
        <v>1</v>
      </c>
      <c r="AE28" s="57"/>
      <c r="AF28" s="57"/>
      <c r="AG28" s="57"/>
      <c r="AH28" s="57"/>
    </row>
    <row r="29" spans="1:34">
      <c r="A29" s="57"/>
      <c r="B29" s="57" t="s">
        <v>104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5'!$F$7))/360))</f>
        <v>1</v>
      </c>
      <c r="AC29" s="57">
        <f>+(1+'KJ-vuosi'!B16)^(-1/12)</f>
        <v>0.99665711744587149</v>
      </c>
      <c r="AD29" s="57">
        <f>+AC28</f>
        <v>0.99665711744587149</v>
      </c>
      <c r="AE29" s="57"/>
      <c r="AF29" s="57"/>
      <c r="AG29" s="57"/>
      <c r="AH29" s="57"/>
    </row>
    <row r="30" spans="1:34">
      <c r="A30" s="57"/>
      <c r="B30" s="57" t="s">
        <v>105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5'!$F$7))/360))</f>
        <v>1</v>
      </c>
      <c r="AC30" s="57">
        <f>+(1+'KJ-vuosi'!B16)^(-1/12)</f>
        <v>0.99665711744587149</v>
      </c>
      <c r="AD30" s="57">
        <f>+AD29*AC29</f>
        <v>0.99332540975551364</v>
      </c>
      <c r="AE30" s="57"/>
      <c r="AF30" s="57"/>
      <c r="AG30" s="57"/>
      <c r="AH30" s="57"/>
    </row>
    <row r="31" spans="1:34">
      <c r="A31" s="57"/>
      <c r="B31" s="57" t="s">
        <v>106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5'!$F$7))/360))</f>
        <v>1</v>
      </c>
      <c r="AC31" s="57">
        <f>+(1+'KJ-vuosi'!B16)^(-1/12)</f>
        <v>0.99665711744587149</v>
      </c>
      <c r="AD31" s="57">
        <f>+AD30*AC30</f>
        <v>0.99000483957266938</v>
      </c>
      <c r="AE31" s="57"/>
      <c r="AF31" s="57"/>
      <c r="AG31" s="57"/>
      <c r="AH31" s="57"/>
    </row>
    <row r="32" spans="1:34">
      <c r="A32" s="57"/>
      <c r="B32" s="57" t="s">
        <v>107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5'!$F$7))/360))</f>
        <v>1</v>
      </c>
      <c r="AC32" s="57">
        <f>+(1+'KJ-vuosi'!B16)^(-1/12)</f>
        <v>0.99665711744587149</v>
      </c>
      <c r="AD32" s="57">
        <f>+AD31*AC31</f>
        <v>0.98669536966595905</v>
      </c>
      <c r="AE32" s="57"/>
      <c r="AF32" s="57"/>
      <c r="AG32" s="57"/>
      <c r="AH32" s="57"/>
    </row>
    <row r="33" spans="1:34">
      <c r="A33" s="57"/>
      <c r="B33" s="57" t="s">
        <v>108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5'!$F$7))/360))</f>
        <v>1</v>
      </c>
      <c r="AC33" s="57">
        <f>+(1+'KJ-vuosi'!B16)^(-1/12)</f>
        <v>0.99665711744587149</v>
      </c>
      <c r="AD33" s="57">
        <f>+AD32*AC32</f>
        <v>0.98339696292846335</v>
      </c>
      <c r="AE33" s="57"/>
      <c r="AF33" s="57"/>
      <c r="AG33" s="57"/>
      <c r="AH33" s="57"/>
    </row>
    <row r="34" spans="1:34">
      <c r="A34" s="57"/>
      <c r="B34" s="57" t="s">
        <v>109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</row>
    <row r="35" spans="1:34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</row>
    <row r="36" spans="1:34">
      <c r="A36" s="57" t="s">
        <v>110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8" spans="1:34" ht="18">
      <c r="A38" s="1" t="s">
        <v>111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34">
      <c r="A40" s="57" t="s">
        <v>112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</row>
    <row r="41" spans="1:34">
      <c r="A41" s="57" t="s">
        <v>151</v>
      </c>
      <c r="B41" s="57"/>
      <c r="C41" s="57"/>
      <c r="D41" s="76" t="str">
        <f>+"1.7."&amp;TEXT('KJ-vuosi'!$B$3,0)</f>
        <v>1.7.2024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</row>
    <row r="42" spans="1:34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</row>
    <row r="43" spans="1:34">
      <c r="A43" s="5" t="s">
        <v>113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</row>
    <row r="44" spans="1:34">
      <c r="A44" s="57"/>
      <c r="B44" s="57"/>
      <c r="C44" s="58" t="s">
        <v>114</v>
      </c>
      <c r="D44" s="58" t="s">
        <v>115</v>
      </c>
      <c r="E44" s="58" t="s">
        <v>116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</row>
    <row r="45" spans="1:34">
      <c r="A45" s="57"/>
      <c r="B45" s="57"/>
      <c r="C45" s="58" t="s">
        <v>117</v>
      </c>
      <c r="D45" s="77" t="s">
        <v>118</v>
      </c>
      <c r="E45" s="58" t="s">
        <v>119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  <row r="46" spans="1:34">
      <c r="A46" s="57"/>
      <c r="B46" s="57"/>
      <c r="C46" s="78"/>
      <c r="D46" s="77" t="s">
        <v>120</v>
      </c>
      <c r="E46" s="58" t="str">
        <f>+D41&amp;")"</f>
        <v>1.7.2024)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1:34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1:34">
      <c r="A48" s="5" t="s">
        <v>121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</row>
    <row r="49" spans="1:9">
      <c r="A49" s="57"/>
      <c r="B49" s="57"/>
      <c r="C49" s="58" t="s">
        <v>122</v>
      </c>
      <c r="D49" s="58" t="s">
        <v>122</v>
      </c>
      <c r="E49" s="58" t="s">
        <v>122</v>
      </c>
      <c r="F49" s="58"/>
      <c r="G49" s="58" t="s">
        <v>123</v>
      </c>
      <c r="H49" s="57"/>
      <c r="I49" s="62"/>
    </row>
    <row r="50" spans="1:9">
      <c r="A50" s="5"/>
      <c r="B50" s="57"/>
      <c r="C50" s="79">
        <f>'Virkamies 5'!F$6</f>
        <v>0</v>
      </c>
      <c r="D50" s="79">
        <f>'Virkamies 5'!F$8</f>
        <v>0</v>
      </c>
      <c r="E50" s="76" t="str">
        <f>$D$41</f>
        <v>1.7.2024</v>
      </c>
      <c r="F50" s="79"/>
      <c r="G50" s="58" t="s">
        <v>124</v>
      </c>
      <c r="H50" s="57"/>
      <c r="I50" s="57" t="s">
        <v>125</v>
      </c>
    </row>
    <row r="51" spans="1:9">
      <c r="A51" s="80" t="s">
        <v>126</v>
      </c>
      <c r="B51" s="57"/>
      <c r="C51" s="62">
        <f>C54-C53-C52</f>
        <v>0</v>
      </c>
      <c r="D51" s="62">
        <f>D54-D53-D52</f>
        <v>0</v>
      </c>
      <c r="E51" s="11">
        <f>ROUND(D51*(VLOOKUP(MONTH('Virkamies 5'!$F$7),aika5,4))*(VLOOKUP(MONTH('Virkamies 5'!$F$7),aika5,2)),2)</f>
        <v>0</v>
      </c>
      <c r="F51" s="57"/>
      <c r="G51" s="58" t="s">
        <v>127</v>
      </c>
      <c r="H51" s="57"/>
      <c r="I51" s="57" t="s">
        <v>128</v>
      </c>
    </row>
    <row r="52" spans="1:9">
      <c r="A52" s="80" t="s">
        <v>129</v>
      </c>
      <c r="B52" s="57"/>
      <c r="C52" s="62">
        <f>'Virkamies 5'!$F$12*12*VLOOKUP($D$40,IF(YEAR($F$6)=vuosi,'poa2024'!$F$5:$I$57,IF(YEAR($F$6)=vuosi1,vastuunjako1,vastuunjako2)),3)</f>
        <v>0</v>
      </c>
      <c r="D52" s="62">
        <f>C52*(1+0.031*((IF(DAY('Virkamies 5'!$F$8)=31,DAYS360('Virkamies 5'!$F$6,'Virkamies 5'!$F$8,TRUE)-1,DAYS360('Virkamies 5'!$F$6,'Virkamies 5'!$F$8,TRUE)))/360))</f>
        <v>0</v>
      </c>
      <c r="E52" s="81">
        <f>ROUND(D52*(VLOOKUP(MONTH('Virkamies 5'!$F$7),aika5,4))*(VLOOKUP(MONTH('Virkamies 5'!$F$7),aika5,2)),2)</f>
        <v>0</v>
      </c>
      <c r="F52" s="57"/>
      <c r="G52" s="47">
        <f>E52</f>
        <v>0</v>
      </c>
      <c r="H52" s="57"/>
      <c r="I52" s="57"/>
    </row>
    <row r="53" spans="1:9">
      <c r="A53" s="82" t="s">
        <v>130</v>
      </c>
      <c r="B53" s="83"/>
      <c r="C53" s="84">
        <f>'Virkamies 5'!$F$12*12*VLOOKUP($D$40,IF(YEAR($F$6)=vuosi,'poa2024'!$F$5:$I$57,IF(YEAR($F$6)=vuosi1,vastuunjako1,vastuunjako2)),4)</f>
        <v>0</v>
      </c>
      <c r="D53" s="84">
        <f>C53*(1+0.031*((IF(DAY('Virkamies 5'!$F$8)=31,DAYS360('Virkamies 5'!$F$6,'Virkamies 5'!$F$8,TRUE)-1,DAYS360('Virkamies 5'!$F$6,'Virkamies 5'!$F$8,TRUE)))/360))</f>
        <v>0</v>
      </c>
      <c r="E53" s="85">
        <f>ROUND(D53*(VLOOKUP(MONTH('Virkamies 5'!$F$7),aika5,4))*(VLOOKUP(MONTH('Virkamies 5'!$F$7),aika5,2)),2)</f>
        <v>0</v>
      </c>
      <c r="F53" s="57"/>
      <c r="G53" s="84">
        <f>E53</f>
        <v>0</v>
      </c>
      <c r="H53" s="57"/>
      <c r="I53" s="83"/>
    </row>
    <row r="54" spans="1:9">
      <c r="A54" s="57" t="s">
        <v>131</v>
      </c>
      <c r="B54" s="57"/>
      <c r="C54" s="62">
        <f>'Virkamies 5'!$F$12*12*VLOOKUP($D$40,IF(YEAR($F$6)=vuosi,'poa2024'!$B$5:$C$57,IF(YEAR($F$6)=vuosi1,perusturva1,perusturva2)),2)</f>
        <v>0</v>
      </c>
      <c r="D54" s="62">
        <f>C54*(1+0.031*((IF(DAY('Virkamies 5'!$F$8)=31,DAYS360('Virkamies 5'!$F$6,'Virkamies 5'!$F$8,TRUE)-1,DAYS360('Virkamies 5'!$F$6,'Virkamies 5'!$F$8,TRUE)))/360))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5'!$F$14*12*VLOOKUP($D$40,IF(YEAR($F$6)=vuosi,'poa2024'!B5:C57,IF(YEAR($F$6)=vuosi1,perusturva1,perusturva2)),2))*(1+0.031*((IF(DAY('Virkamies 5'!$F$8)=31,DAYS360('Virkamies 5'!$F$6,'Virkamies 5'!$F$8,TRUE)-1,DAYS360('Virkamies 5'!$F$6,'Virkamies 5'!$F$8,TRUE)))/360))*(VLOOKUP(MONTH('Virkamies 5'!$F$7),aika1,4))*(VLOOKUP(MONTH('Virkamies 5'!$F$7),aika1,2))),2)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132</v>
      </c>
      <c r="B56" s="57"/>
      <c r="C56" s="62"/>
      <c r="D56" s="62"/>
      <c r="E56" s="62"/>
      <c r="F56" s="57"/>
      <c r="G56" s="62"/>
      <c r="H56" s="57"/>
      <c r="I56" s="57"/>
    </row>
    <row r="57" spans="1:9">
      <c r="A57" s="57"/>
      <c r="B57" s="57"/>
      <c r="C57" s="58" t="s">
        <v>122</v>
      </c>
      <c r="D57" s="58" t="s">
        <v>122</v>
      </c>
      <c r="E57" s="58" t="s">
        <v>122</v>
      </c>
      <c r="F57" s="57"/>
      <c r="G57" s="57"/>
      <c r="H57" s="57"/>
      <c r="I57" s="57"/>
    </row>
    <row r="58" spans="1:9">
      <c r="A58" s="5"/>
      <c r="B58" s="57"/>
      <c r="C58" s="79">
        <f>'Virkamies 5'!F$6</f>
        <v>0</v>
      </c>
      <c r="D58" s="79">
        <f>'Virkamies 5'!F$8</f>
        <v>0</v>
      </c>
      <c r="E58" s="76" t="str">
        <f>$D$41</f>
        <v>1.7.2024</v>
      </c>
      <c r="F58" s="57"/>
      <c r="G58" s="57"/>
      <c r="H58" s="57"/>
      <c r="I58" s="57"/>
    </row>
    <row r="59" spans="1:9">
      <c r="A59" s="80" t="s">
        <v>126</v>
      </c>
      <c r="B59" s="57"/>
      <c r="C59" s="62">
        <f>C62-C61-C60</f>
        <v>0</v>
      </c>
      <c r="D59" s="62">
        <f>D62-D61-D60</f>
        <v>0</v>
      </c>
      <c r="E59" s="11">
        <f>ROUND(D59*(VLOOKUP(MONTH('Virkamies 5'!$F$7),aika5,4))*(VLOOKUP(MONTH('Virkamies 5'!$F$7),aika5,2)),2)</f>
        <v>0</v>
      </c>
      <c r="F59" s="57"/>
      <c r="G59" s="57"/>
      <c r="H59" s="57"/>
      <c r="I59" s="57"/>
    </row>
    <row r="60" spans="1:9">
      <c r="A60" s="80" t="s">
        <v>129</v>
      </c>
      <c r="B60" s="57"/>
      <c r="C60" s="62">
        <f>'Virkamies 5'!$F$13*12*VLOOKUP($D$40,IF(YEAR($F$6)=vuosi,'poa2024'!$F$5:$I$57,IF(YEAR($F$6)=vuosi1,vastuunjako1,vastuunjako2)),3)</f>
        <v>0</v>
      </c>
      <c r="D60" s="62">
        <f>C60*(1+0.031*((IF(DAY('Virkamies 5'!$F$8)=31,DAYS360('Virkamies 5'!$F$6,'Virkamies 5'!$F$8,TRUE)-1,DAYS360('Virkamies 5'!$F$6,'Virkamies 5'!$F$8,TRUE)))/360))</f>
        <v>0</v>
      </c>
      <c r="E60" s="81">
        <f>ROUND(D60*(VLOOKUP(MONTH('Virkamies 5'!$F$7),aika5,4))*(VLOOKUP(MONTH('Virkamies 5'!$F$7),aika5,2)),2)</f>
        <v>0</v>
      </c>
      <c r="F60" s="57"/>
      <c r="G60" s="57"/>
      <c r="H60" s="57"/>
      <c r="I60" s="57"/>
    </row>
    <row r="61" spans="1:9">
      <c r="A61" s="82" t="s">
        <v>130</v>
      </c>
      <c r="B61" s="83"/>
      <c r="C61" s="84">
        <f>'Virkamies 5'!$F$13*12*VLOOKUP($D$40,IF(YEAR($F$6)=vuosi,'poa2024'!$F$5:$I$57,IF(YEAR($F$6)=vuosi1,vastuunjako1,vastuunjako2)),4)</f>
        <v>0</v>
      </c>
      <c r="D61" s="84">
        <f>C61*(1+0.031*((IF(DAY('Virkamies 5'!$F$8)=31,DAYS360('Virkamies 5'!$F$6,'Virkamies 5'!$F$8,TRUE)-1,DAYS360('Virkamies 5'!$F$6,'Virkamies 5'!$F$8,TRUE)))/360))</f>
        <v>0</v>
      </c>
      <c r="E61" s="85">
        <f>ROUND(D61*(VLOOKUP(MONTH('Virkamies 5'!$F$7),aika5,4))*(VLOOKUP(MONTH('Virkamies 5'!$F$7),aika5,2)),2)</f>
        <v>0</v>
      </c>
      <c r="F61" s="57"/>
      <c r="G61" s="57"/>
      <c r="H61" s="57"/>
      <c r="I61" s="57"/>
    </row>
    <row r="62" spans="1:9">
      <c r="A62" s="57" t="s">
        <v>131</v>
      </c>
      <c r="B62" s="57"/>
      <c r="C62" s="62">
        <f>'Virkamies 5'!$F$13*12*VLOOKUP($D$40,IF(YEAR($F$6)=vuosi,'poa2024'!$B$5:$C$57,IF(YEAR($F$6)=vuosi1,perusturva1,perusturva2)),2)</f>
        <v>0</v>
      </c>
      <c r="D62" s="62">
        <f>C62*(1+0.031*((IF(DAY('Virkamies 5'!$F$8)=31,DAYS360('Virkamies 5'!$F$6,'Virkamies 5'!$F$8,TRUE)-1,DAYS360('Virkamies 5'!$F$6,'Virkamies 5'!$F$8,TRUE)))/360))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133</v>
      </c>
      <c r="B64" s="57"/>
      <c r="C64" s="62"/>
      <c r="D64" s="57"/>
      <c r="E64" s="57"/>
      <c r="F64" s="57"/>
      <c r="G64" s="57"/>
      <c r="H64" s="57"/>
      <c r="I64" s="57"/>
    </row>
    <row r="65" spans="1:12">
      <c r="A65" s="5"/>
      <c r="B65" s="57"/>
      <c r="C65" s="58" t="s">
        <v>122</v>
      </c>
      <c r="D65" s="58" t="s">
        <v>122</v>
      </c>
      <c r="E65" s="58" t="s">
        <v>122</v>
      </c>
      <c r="F65" s="57"/>
      <c r="G65" s="58" t="s">
        <v>123</v>
      </c>
      <c r="H65" s="57"/>
      <c r="I65" s="57"/>
      <c r="J65" s="57"/>
      <c r="K65" s="57"/>
      <c r="L65" s="57"/>
    </row>
    <row r="66" spans="1:12">
      <c r="A66" s="5"/>
      <c r="B66" s="57"/>
      <c r="C66" s="79">
        <f>'Virkamies 5'!F$6</f>
        <v>0</v>
      </c>
      <c r="D66" s="79">
        <f>'Virkamies 5'!F$8</f>
        <v>0</v>
      </c>
      <c r="E66" s="76" t="str">
        <f>$D$41</f>
        <v>1.7.2024</v>
      </c>
      <c r="F66" s="57"/>
      <c r="G66" s="58" t="s">
        <v>134</v>
      </c>
      <c r="H66" s="57"/>
      <c r="I66" s="57"/>
      <c r="J66" s="57"/>
      <c r="K66" s="57"/>
      <c r="L66" s="57"/>
    </row>
    <row r="67" spans="1:12">
      <c r="A67" s="80" t="s">
        <v>126</v>
      </c>
      <c r="B67" s="57"/>
      <c r="C67" s="62">
        <f>C70-C69-C68</f>
        <v>0</v>
      </c>
      <c r="D67" s="62">
        <f>D70-D69-D68</f>
        <v>0</v>
      </c>
      <c r="E67" s="11">
        <f>ROUND(D67*(VLOOKUP(MONTH('Virkamies 5'!$F$7),aikaYEL5,4))*(VLOOKUP(MONTH('Virkamies 5'!$F$7),aikaYEL5,2)),2)</f>
        <v>0</v>
      </c>
      <c r="F67" s="57"/>
      <c r="G67" s="58" t="s">
        <v>135</v>
      </c>
      <c r="H67" s="57"/>
      <c r="I67" s="57"/>
      <c r="J67" s="57"/>
      <c r="K67" s="57"/>
      <c r="L67" s="57"/>
    </row>
    <row r="68" spans="1:12">
      <c r="A68" s="80" t="s">
        <v>129</v>
      </c>
      <c r="B68" s="57"/>
      <c r="C68" s="62">
        <f>'Virkamies 5'!$F$15*12*VLOOKUP($D$40,IF(YEAR($F$6)=vuosi,'poa2024'!$F$5:$I$57,IF(YEAR($F$6)=vuosi1,vastuunjako1,vastuunjako2)),3)</f>
        <v>0</v>
      </c>
      <c r="D68" s="62">
        <f>C68*(1+0.031*((IF(DAY('Virkamies 5'!$F$8)=31,DAYS360('Virkamies 5'!$F$6,'Virkamies 5'!$F$8,TRUE)-1,DAYS360('Virkamies 5'!$F$6,'Virkamies 5'!$F$8,TRUE)))/360))</f>
        <v>0</v>
      </c>
      <c r="E68" s="81">
        <f>ROUND(D68*(VLOOKUP(MONTH('Virkamies 5'!$F$7),aikaYEL5,4))*(VLOOKUP(MONTH('Virkamies 5'!$F$7),aikaYEL5,2)),2)</f>
        <v>0</v>
      </c>
      <c r="F68" s="57"/>
      <c r="G68" s="62">
        <f>E68</f>
        <v>0</v>
      </c>
      <c r="H68" s="57"/>
      <c r="I68" s="57"/>
      <c r="J68" s="57"/>
      <c r="K68" s="57"/>
      <c r="L68" s="57"/>
    </row>
    <row r="69" spans="1:12">
      <c r="A69" s="82" t="s">
        <v>130</v>
      </c>
      <c r="B69" s="83"/>
      <c r="C69" s="84">
        <f>'Virkamies 5'!$F$15*12*VLOOKUP($D$40,IF(YEAR($F$6)=vuosi,'poa2024'!$F$5:$I$57,IF(YEAR($F$6)=vuosi1,vastuunjako1,vastuunjako2)),4)</f>
        <v>0</v>
      </c>
      <c r="D69" s="84">
        <f>C69*(1+0.031*((IF(DAY('Virkamies 5'!$F$8)=31,DAYS360('Virkamies 5'!$F$6,'Virkamies 5'!$F$8,TRUE)-1,DAYS360('Virkamies 5'!$F$6,'Virkamies 5'!$F$8,TRUE)))/360))</f>
        <v>0</v>
      </c>
      <c r="E69" s="85">
        <f>ROUND(D69*(VLOOKUP(MONTH('Virkamies 5'!$F$7),aikaYEL5,4))*(VLOOKUP(MONTH('Virkamies 5'!$F$7),aikaYEL5,2)),2)</f>
        <v>0</v>
      </c>
      <c r="F69" s="57"/>
      <c r="G69" s="84">
        <f>E69</f>
        <v>0</v>
      </c>
      <c r="H69" s="57"/>
      <c r="I69" s="57"/>
      <c r="J69" s="57"/>
      <c r="K69" s="57"/>
      <c r="L69" s="57"/>
    </row>
    <row r="70" spans="1:12">
      <c r="A70" s="57" t="s">
        <v>131</v>
      </c>
      <c r="B70" s="57"/>
      <c r="C70" s="62">
        <f>'Virkamies 5'!$F$15*12*VLOOKUP($D$40,IF(YEAR($F$6)=vuosi,'poa2024'!$B$5:$C$57,IF(YEAR($F$6)=vuosi1,perusturva1,perusturva2)),2)</f>
        <v>0</v>
      </c>
      <c r="D70" s="62">
        <f>C70*(1+0.031*((IF(DAY('Virkamies 5'!$F$8)=31,DAYS360('Virkamies 5'!$F$6,'Virkamies 5'!$F$8,TRUE)-1,DAYS360('Virkamies 5'!$F$6,'Virkamies 5'!$F$8,TRUE)))/360))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  <c r="L70" s="57"/>
    </row>
    <row r="71" spans="1:12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  <c r="L71" s="57"/>
    </row>
    <row r="72" spans="1:12">
      <c r="A72" s="5" t="s">
        <v>136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  <c r="L72" s="57"/>
    </row>
    <row r="73" spans="1:12">
      <c r="A73" s="5"/>
      <c r="B73" s="57"/>
      <c r="C73" s="58" t="s">
        <v>122</v>
      </c>
      <c r="D73" s="58" t="s">
        <v>122</v>
      </c>
      <c r="E73" s="58" t="s">
        <v>122</v>
      </c>
      <c r="F73" s="57"/>
      <c r="G73" s="58"/>
      <c r="H73" s="57"/>
      <c r="I73" s="57"/>
      <c r="J73" s="57"/>
      <c r="K73" s="57"/>
      <c r="L73" s="57"/>
    </row>
    <row r="74" spans="1:12">
      <c r="A74" s="5"/>
      <c r="B74" s="57"/>
      <c r="C74" s="79">
        <f>'Virkamies 5'!F$6</f>
        <v>0</v>
      </c>
      <c r="D74" s="79">
        <f>'Virkamies 5'!F$8</f>
        <v>0</v>
      </c>
      <c r="E74" s="76" t="str">
        <f>$D$41</f>
        <v>1.7.2024</v>
      </c>
      <c r="F74" s="57"/>
      <c r="G74" s="58"/>
      <c r="H74" s="57"/>
      <c r="I74" s="57"/>
      <c r="J74" s="57"/>
      <c r="K74" s="57"/>
      <c r="L74" s="57"/>
    </row>
    <row r="75" spans="1:12">
      <c r="A75" s="80" t="s">
        <v>126</v>
      </c>
      <c r="B75" s="57"/>
      <c r="C75" s="62">
        <f>C78-C77-C76</f>
        <v>0</v>
      </c>
      <c r="D75" s="62">
        <f>D78-D77-D76</f>
        <v>0</v>
      </c>
      <c r="E75" s="11">
        <f>ROUND(D75*(VLOOKUP(MONTH('Virkamies 5'!$F$7),aika5,4))*(VLOOKUP(MONTH('Virkamies 5'!$F$7),aika5,2)),2)</f>
        <v>0</v>
      </c>
      <c r="F75" s="57"/>
      <c r="G75" s="58"/>
      <c r="H75" s="57"/>
      <c r="I75" s="57"/>
      <c r="J75" s="57"/>
      <c r="K75" s="57"/>
      <c r="L75" s="57"/>
    </row>
    <row r="76" spans="1:12">
      <c r="A76" s="80" t="s">
        <v>129</v>
      </c>
      <c r="B76" s="57"/>
      <c r="C76" s="62">
        <f>'Virkamies 5'!$F$16*12*VLOOKUP($D$40,IF(YEAR($F$6)=vuosi,'poa2024'!$F$5:$I$57,IF(YEAR($F$6)=vuosi1,vastuunjako1,vastuunjako2)),3)</f>
        <v>0</v>
      </c>
      <c r="D76" s="62">
        <f>C76*(1+0.031*((IF(DAY('Virkamies 5'!$F$8)=31,DAYS360('Virkamies 5'!$F$6,'Virkamies 5'!$F$8,TRUE)-1,DAYS360('Virkamies 5'!$F$6,'Virkamies 5'!$F$8,TRUE)))/360))</f>
        <v>0</v>
      </c>
      <c r="E76" s="11">
        <f>ROUND(D76*(VLOOKUP(MONTH('Virkamies 5'!$F$7),aika5,4))*(VLOOKUP(MONTH('Virkamies 5'!$F$7),aika5,2)),2)</f>
        <v>0</v>
      </c>
      <c r="F76" s="57"/>
      <c r="G76" s="58"/>
      <c r="H76" s="57"/>
      <c r="I76" s="57"/>
      <c r="J76" s="57"/>
      <c r="K76" s="57"/>
      <c r="L76" s="57"/>
    </row>
    <row r="77" spans="1:12">
      <c r="A77" s="82" t="s">
        <v>130</v>
      </c>
      <c r="B77" s="83"/>
      <c r="C77" s="84">
        <f>'Virkamies 5'!$F$16*12*VLOOKUP($D$40,IF(YEAR($F$6)=vuosi,'poa2024'!$F$5:$I$57,IF(YEAR($F$6)=vuosi1,vastuunjako1,vastuunjako2)),4)</f>
        <v>0</v>
      </c>
      <c r="D77" s="84">
        <f>C77*(1+0.031*((IF(DAY('Virkamies 5'!$F$8)=31,DAYS360('Virkamies 5'!$F$6,'Virkamies 5'!$F$8,TRUE)-1,DAYS360('Virkamies 5'!$F$6,'Virkamies 5'!$F$8,TRUE)))/360))</f>
        <v>0</v>
      </c>
      <c r="E77" s="48">
        <f>ROUND(D77*(VLOOKUP(MONTH('Virkamies 5'!$F$7),aika5,4))*(VLOOKUP(MONTH('Virkamies 5'!$F$7),aika5,2)),2)</f>
        <v>0</v>
      </c>
      <c r="F77" s="57"/>
      <c r="G77" s="58"/>
      <c r="H77" s="57"/>
      <c r="I77" s="57"/>
      <c r="J77" s="57"/>
      <c r="K77" s="57"/>
      <c r="L77" s="57"/>
    </row>
    <row r="78" spans="1:12">
      <c r="A78" s="57" t="s">
        <v>131</v>
      </c>
      <c r="B78" s="57"/>
      <c r="C78" s="62">
        <f>'Virkamies 5'!$F$16*12*VLOOKUP($D$40,IF(YEAR($F$6)=vuosi,'poa2024'!$B$5:$C$57,IF(YEAR($F$6)=vuosi1,perusturva1,perusturva2)),2)</f>
        <v>0</v>
      </c>
      <c r="D78" s="62">
        <f>C78*(1+0.031*((IF(DAY('Virkamies 5'!$F$8)=31,DAYS360('Virkamies 5'!$F$6,'Virkamies 5'!$F$8,TRUE)-1,DAYS360('Virkamies 5'!$F$6,'Virkamies 5'!$F$8,TRUE)))/360))</f>
        <v>0</v>
      </c>
      <c r="E78" s="62">
        <f>SUM(E75:E77)</f>
        <v>0</v>
      </c>
      <c r="F78" s="25"/>
      <c r="G78" s="58"/>
      <c r="H78" s="86" t="s">
        <v>137</v>
      </c>
      <c r="I78" s="57" t="s">
        <v>138</v>
      </c>
      <c r="J78" s="57"/>
      <c r="K78" s="57"/>
      <c r="L78" s="57"/>
    </row>
    <row r="79" spans="1:12">
      <c r="A79" s="57"/>
      <c r="B79" s="57"/>
      <c r="C79" s="62"/>
      <c r="D79" s="62"/>
      <c r="E79" s="62"/>
      <c r="F79" s="57"/>
      <c r="G79" s="58"/>
      <c r="H79" s="58"/>
      <c r="I79" s="57" t="s">
        <v>139</v>
      </c>
      <c r="J79" s="57"/>
      <c r="K79" s="57"/>
      <c r="L79" s="57"/>
    </row>
    <row r="80" spans="1:12">
      <c r="A80" s="5" t="s">
        <v>145</v>
      </c>
      <c r="B80" s="57"/>
      <c r="C80" s="62">
        <f>'Virkamies 5'!$F$21*12*VLOOKUP($D$40,IF(YEAR($F$6)=vuosi,'poa2024'!$B$62:$E$114,IF(YEAR($F$6)=vuosi1,lisäturva1,lisäturva2)),2)+'Virkamies 5'!$F$22*12*VLOOKUP($D$40,IF(YEAR($F$6)=vuosi,'poa2024'!$B$62:$E$114,IF(YEAR($F$6)=vuosi1,lisäturva1,lisäturva2)),IF('Virkamies 5'!$F$23="LL",3,4))</f>
        <v>0</v>
      </c>
      <c r="D80" s="62">
        <f>C80*(1+0.031*((IF(DAY('Virkamies 5'!$F$8)=31,DAYS360('Virkamies 5'!$F$6,'Virkamies 5'!$F$8,TRUE)-1,DAYS360('Virkamies 5'!$F$6,'Virkamies 5'!$F$8,TRUE)))/360))</f>
        <v>0</v>
      </c>
      <c r="E80" s="11">
        <f>ROUND(D80*(VLOOKUP(MONTH('Virkamies 5'!$F$7),aika5,4))*(VLOOKUP(MONTH('Virkamies 5'!$F$7),aika5,2)),2)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  <c r="L80" s="57"/>
    </row>
    <row r="81" spans="1:12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  <c r="L81" s="57"/>
    </row>
    <row r="82" spans="1:12">
      <c r="A82" s="5" t="s">
        <v>146</v>
      </c>
      <c r="B82" s="57"/>
      <c r="C82" s="62">
        <f>'Virkamies 5'!$F$24*12*VLOOKUP($D$40,IF(YEAR($F$6)=vuosi,'poa2024'!$B$62:$E$114,IF(YEAR($F$6)=vuosi1,lisäturva1,lisäturva2)),2)+'Virkamies 5'!$F$25*12*VLOOKUP($D$40,IF(YEAR($F$6)=vuosi,'poa2024'!$B$62:$E$114,IF(YEAR($F$6)=vuosi1,lisäturva1,lisäturva2)),IF('Virkamies 5'!$F$26="LL",3,4))</f>
        <v>0</v>
      </c>
      <c r="D82" s="62">
        <f>C82*(1+0.031*((IF(DAY('Virkamies 5'!$F$8)=31,DAYS360('Virkamies 5'!$F$6,'Virkamies 5'!$F$8,TRUE)-1,DAYS360('Virkamies 5'!$F$6,'Virkamies 5'!$F$8,TRUE)))/360))</f>
        <v>0</v>
      </c>
      <c r="E82" s="11">
        <f>ROUND(D82*(VLOOKUP(MONTH('Virkamies 5'!$F$7),aikaYEL5,4))*(VLOOKUP(MONTH('Virkamies 5'!$F$7),aikaYEL5,2)),2)</f>
        <v>0</v>
      </c>
      <c r="F82" s="57"/>
      <c r="G82" s="86"/>
      <c r="H82" s="57"/>
      <c r="I82" s="57"/>
      <c r="J82" s="57"/>
      <c r="K82" s="57"/>
      <c r="L82" s="57"/>
    </row>
    <row r="83" spans="1:12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  <c r="L83" s="57"/>
    </row>
    <row r="84" spans="1:12">
      <c r="A84" s="5" t="s">
        <v>142</v>
      </c>
      <c r="B84" s="57"/>
      <c r="C84" s="62">
        <f>'Virkamies 5'!$F$17*12*VLOOKUP($D$40,IF(YEAR($F$6)=vuosi,'poa2024'!$B$5:$C$57,IF(YEAR($F$6)=vuosi1,perusturva1,perusturva2)),2)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5'!$F$7),aika5,4))*(VLOOKUP(MONTH('Virkamies 5'!$F$7),aika5,2)),2)</f>
        <v>0</v>
      </c>
      <c r="F84" s="25"/>
      <c r="G84" s="62"/>
      <c r="H84" s="57"/>
      <c r="I84" s="62"/>
      <c r="J84" s="57"/>
      <c r="K84" s="57"/>
      <c r="L84" s="57"/>
    </row>
    <row r="85" spans="1:12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  <c r="L85" s="57"/>
    </row>
    <row r="86" spans="1:12">
      <c r="A86" s="5" t="s">
        <v>131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  <c r="L86" s="57"/>
    </row>
    <row r="87" spans="1:12">
      <c r="A87" s="57"/>
      <c r="B87" s="57"/>
      <c r="C87" s="57"/>
      <c r="D87" s="57"/>
      <c r="E87" s="62"/>
      <c r="F87" s="57"/>
      <c r="G87" s="57"/>
      <c r="H87" s="57"/>
      <c r="I87" s="62"/>
      <c r="J87" s="57"/>
      <c r="K87" s="57"/>
      <c r="L87" s="57"/>
    </row>
    <row r="88" spans="1:12">
      <c r="A88" s="57"/>
      <c r="B88" s="80"/>
      <c r="C88" s="57"/>
      <c r="D88" s="57"/>
      <c r="E88" s="27"/>
      <c r="F88" s="26"/>
      <c r="G88" s="57"/>
      <c r="H88" s="57"/>
      <c r="I88" s="57"/>
      <c r="J88" s="57"/>
      <c r="K88" s="57"/>
      <c r="L88" s="57"/>
    </row>
    <row r="89" spans="1:12">
      <c r="A89" s="57"/>
      <c r="B89" s="80"/>
      <c r="C89" s="57"/>
      <c r="D89" s="57"/>
      <c r="E89" s="57"/>
      <c r="F89" s="57"/>
      <c r="G89" s="57"/>
      <c r="H89" s="57"/>
      <c r="I89" s="57"/>
      <c r="J89" s="57"/>
      <c r="K89" s="57"/>
      <c r="L89" s="57"/>
    </row>
    <row r="90" spans="1:12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ul11"/>
  <dimension ref="A1:AJ89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0.5703125" style="6" customWidth="1"/>
    <col min="10" max="27" width="9.140625" style="6"/>
    <col min="28" max="28" width="11.5703125" style="6" customWidth="1"/>
    <col min="29" max="16384" width="9.140625" style="6"/>
  </cols>
  <sheetData>
    <row r="1" spans="1:36" ht="18">
      <c r="A1" s="1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143</v>
      </c>
      <c r="AC1" s="58" t="s">
        <v>77</v>
      </c>
      <c r="AD1" s="57" t="s">
        <v>78</v>
      </c>
      <c r="AE1" s="57"/>
      <c r="AF1" s="57"/>
      <c r="AG1" s="57"/>
      <c r="AH1" s="65" t="str">
        <f>LEFT(F5,2)&amp;"."&amp;MID(F5,3,2)&amp;".19"&amp;MID(F5,5,2)</f>
        <v>..19</v>
      </c>
      <c r="AI1" s="57"/>
      <c r="AJ1" s="57"/>
    </row>
    <row r="2" spans="1:36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>
      <c r="A3" s="5" t="s">
        <v>80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1.003466091602899</v>
      </c>
      <c r="AC3" s="57">
        <f>+(1+'KJ-vuosi'!B4)^(1/12)</f>
        <v>1.0033540948994528</v>
      </c>
      <c r="AD3" s="57">
        <f>AC4*AD4</f>
        <v>1.0168833519905274</v>
      </c>
      <c r="AE3" s="57"/>
      <c r="AF3" s="57"/>
      <c r="AG3" s="57"/>
      <c r="AH3" s="57"/>
      <c r="AI3" s="57"/>
      <c r="AJ3" s="57"/>
    </row>
    <row r="4" spans="1:36">
      <c r="A4" s="5"/>
      <c r="B4" s="57" t="s">
        <v>82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1.003466091602899</v>
      </c>
      <c r="AC4" s="57">
        <f>+(1+'KJ-vuosi'!B5)^(1/12)</f>
        <v>1.0033540948994528</v>
      </c>
      <c r="AD4" s="57">
        <f>AC5*AD5</f>
        <v>1.0134840303735744</v>
      </c>
      <c r="AE4" s="57"/>
      <c r="AF4" s="57"/>
      <c r="AG4" s="57"/>
      <c r="AH4" s="57"/>
      <c r="AI4" s="57"/>
      <c r="AJ4" s="57"/>
    </row>
    <row r="5" spans="1:36">
      <c r="A5" s="57"/>
      <c r="B5" s="57" t="s">
        <v>83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1.003466091602899</v>
      </c>
      <c r="AC5" s="57">
        <f>+(1+'KJ-vuosi'!B6)^(1/12)</f>
        <v>1.0033540948994528</v>
      </c>
      <c r="AD5" s="57">
        <f>AC6*AD6</f>
        <v>1.0100960722895507</v>
      </c>
      <c r="AE5" s="57"/>
      <c r="AF5" s="57"/>
      <c r="AG5" s="57"/>
      <c r="AH5" s="57"/>
      <c r="AI5" s="57"/>
      <c r="AJ5" s="57"/>
    </row>
    <row r="6" spans="1:36">
      <c r="A6" s="57"/>
      <c r="B6" s="57" t="s">
        <v>84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1.003466091602899</v>
      </c>
      <c r="AC6" s="57">
        <f>+(1+'KJ-vuosi'!B7)^(1/12)</f>
        <v>1.0033540948994528</v>
      </c>
      <c r="AD6" s="57">
        <f>AC7*AD7</f>
        <v>1.0067194397515002</v>
      </c>
      <c r="AE6" s="57"/>
      <c r="AF6" s="57"/>
      <c r="AG6" s="57"/>
      <c r="AH6" s="57"/>
      <c r="AI6" s="57"/>
      <c r="AJ6" s="57"/>
    </row>
    <row r="7" spans="1:36">
      <c r="A7" s="57"/>
      <c r="B7" s="57" t="s">
        <v>85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1.003466091602899</v>
      </c>
      <c r="AC7" s="57">
        <f>+(1+'KJ-vuosi'!B8)^(1/12)</f>
        <v>1.0033540948994528</v>
      </c>
      <c r="AD7" s="57">
        <f>AC8</f>
        <v>1.0033540948994528</v>
      </c>
      <c r="AE7" s="57"/>
      <c r="AF7" s="57"/>
      <c r="AG7" s="57"/>
      <c r="AH7" s="57"/>
      <c r="AI7" s="57"/>
      <c r="AJ7" s="57"/>
    </row>
    <row r="8" spans="1:36">
      <c r="A8" s="57"/>
      <c r="B8" s="57" t="s">
        <v>86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1.003466091602899</v>
      </c>
      <c r="AC8" s="57">
        <f>+(1+'KJ-vuosi'!B9)^(1/12)</f>
        <v>1.0033540948994528</v>
      </c>
      <c r="AD8" s="57">
        <v>1</v>
      </c>
      <c r="AE8" s="57"/>
      <c r="AF8" s="57"/>
      <c r="AG8" s="57"/>
      <c r="AH8" s="57"/>
      <c r="AI8" s="57"/>
      <c r="AJ8" s="57"/>
    </row>
    <row r="9" spans="1:36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6'!$F$7))/360))</f>
        <v>1</v>
      </c>
      <c r="AC9" s="57">
        <f>+(1+'KJ-vuosi'!B10)^(-1/12)</f>
        <v>0.99693686989174457</v>
      </c>
      <c r="AD9" s="57">
        <v>1</v>
      </c>
      <c r="AE9" s="57"/>
      <c r="AF9" s="57"/>
      <c r="AG9" s="57"/>
      <c r="AH9" s="57"/>
      <c r="AI9" s="57"/>
      <c r="AJ9" s="57"/>
    </row>
    <row r="10" spans="1:36">
      <c r="A10" s="5" t="s">
        <v>87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6'!$F$7))/360))</f>
        <v>1</v>
      </c>
      <c r="AC10" s="57">
        <f>+(1+'KJ-vuosi'!B11)^(-1/12)</f>
        <v>0.99693686989174457</v>
      </c>
      <c r="AD10" s="57">
        <f>AC9</f>
        <v>0.99693686989174457</v>
      </c>
      <c r="AE10" s="57"/>
      <c r="AF10" s="57"/>
      <c r="AG10" s="57"/>
      <c r="AH10" s="57"/>
      <c r="AI10" s="57"/>
      <c r="AJ10" s="57"/>
    </row>
    <row r="11" spans="1:36">
      <c r="A11" s="5" t="s">
        <v>88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6'!$F$7))/360))</f>
        <v>1</v>
      </c>
      <c r="AC11" s="57">
        <f>+(1+'KJ-vuosi'!B12)^(-1/12)</f>
        <v>0.99693686989174457</v>
      </c>
      <c r="AD11" s="57">
        <f>AD10*AC10</f>
        <v>0.99388312254954925</v>
      </c>
      <c r="AE11" s="57"/>
      <c r="AF11" s="57"/>
      <c r="AG11" s="57"/>
      <c r="AH11" s="57"/>
      <c r="AI11" s="57"/>
      <c r="AJ11" s="57"/>
    </row>
    <row r="12" spans="1:36">
      <c r="A12" s="57"/>
      <c r="B12" s="57" t="s">
        <v>89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6'!$F$7))/360))</f>
        <v>1</v>
      </c>
      <c r="AC12" s="57">
        <f>+(1+'KJ-vuosi'!B13)^(-1/12)</f>
        <v>0.99693686989174457</v>
      </c>
      <c r="AD12" s="57">
        <f>AD11*AC11</f>
        <v>0.99083872923278082</v>
      </c>
      <c r="AE12" s="57"/>
      <c r="AF12" s="57"/>
      <c r="AG12" s="57"/>
      <c r="AH12" s="57"/>
      <c r="AI12" s="57"/>
      <c r="AJ12" s="57"/>
    </row>
    <row r="13" spans="1:36">
      <c r="A13" s="57"/>
      <c r="B13" s="57" t="s">
        <v>90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6'!$F$7))/360))</f>
        <v>1</v>
      </c>
      <c r="AC13" s="57">
        <f>+(1+'KJ-vuosi'!B14)^(-1/12)</f>
        <v>0.99693686989174457</v>
      </c>
      <c r="AD13" s="57">
        <f>AD12*AC12</f>
        <v>0.98780366128884234</v>
      </c>
      <c r="AE13" s="57"/>
      <c r="AF13" s="57"/>
      <c r="AG13" s="57"/>
      <c r="AH13" s="57"/>
      <c r="AI13" s="57"/>
      <c r="AJ13" s="57"/>
    </row>
    <row r="14" spans="1:36">
      <c r="A14" s="57"/>
      <c r="B14" s="57" t="s">
        <v>144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6'!$F$7))/360))</f>
        <v>1</v>
      </c>
      <c r="AC14" s="57">
        <f>+(1+'KJ-vuosi'!B15)^(-1/12)</f>
        <v>0.99693686989174457</v>
      </c>
      <c r="AD14" s="57">
        <f>AD13*AC13</f>
        <v>0.98477789015290351</v>
      </c>
      <c r="AE14" s="57"/>
      <c r="AF14" s="57"/>
      <c r="AG14" s="57"/>
      <c r="AH14" s="57"/>
      <c r="AI14" s="57"/>
      <c r="AJ14" s="57"/>
    </row>
    <row r="15" spans="1:36">
      <c r="A15" s="57"/>
      <c r="B15" s="57" t="s">
        <v>92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</row>
    <row r="16" spans="1:36">
      <c r="A16" s="57"/>
      <c r="B16" s="57" t="s">
        <v>93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</row>
    <row r="17" spans="1:36">
      <c r="A17" s="57"/>
      <c r="B17" s="57" t="s">
        <v>94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</row>
    <row r="18" spans="1:36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</row>
    <row r="19" spans="1:36">
      <c r="A19" s="5" t="s">
        <v>95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</row>
    <row r="20" spans="1:36">
      <c r="A20" s="5" t="s">
        <v>88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76</v>
      </c>
      <c r="AC20" s="57" t="s">
        <v>77</v>
      </c>
      <c r="AD20" s="57" t="s">
        <v>78</v>
      </c>
      <c r="AE20" s="57"/>
      <c r="AF20" s="57"/>
      <c r="AG20" s="57"/>
      <c r="AH20" s="65" t="str">
        <f>LEFT(F5,2)&amp;"."&amp;MID(F5,3,2)&amp;".19"&amp;MID(F5,5,2)</f>
        <v>..19</v>
      </c>
      <c r="AI20" s="57"/>
      <c r="AJ20" s="57"/>
    </row>
    <row r="21" spans="1:36">
      <c r="A21" s="57"/>
      <c r="B21" s="57" t="s">
        <v>96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79</v>
      </c>
      <c r="AC21" s="57"/>
      <c r="AD21" s="57"/>
      <c r="AE21" s="57"/>
      <c r="AF21" s="57"/>
      <c r="AG21" s="57"/>
      <c r="AH21" s="57"/>
      <c r="AI21" s="57"/>
      <c r="AJ21" s="57"/>
    </row>
    <row r="22" spans="1:36">
      <c r="A22" s="57"/>
      <c r="B22" s="57" t="s">
        <v>97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98</v>
      </c>
      <c r="AA22" s="57">
        <v>1</v>
      </c>
      <c r="AB22" s="66">
        <f>(1+'KJ-vuosi'!$B$16)^((31-DAY($F$7))/360)</f>
        <v>1.003466091602899</v>
      </c>
      <c r="AC22" s="57">
        <f>+(1+'KJ-vuosi'!B16)^(1/12)</f>
        <v>1.0033540948994528</v>
      </c>
      <c r="AD22" s="57">
        <f>AC23*AD23</f>
        <v>1.0168833519905274</v>
      </c>
      <c r="AE22" s="57"/>
      <c r="AF22" s="57"/>
      <c r="AG22" s="57"/>
      <c r="AH22" s="57"/>
      <c r="AI22" s="57"/>
      <c r="AJ22" s="57"/>
    </row>
    <row r="23" spans="1:36">
      <c r="A23" s="57"/>
      <c r="B23" s="57" t="s">
        <v>99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1.003466091602899</v>
      </c>
      <c r="AC23" s="57">
        <f>+(1+'KJ-vuosi'!B16)^(1/12)</f>
        <v>1.0033540948994528</v>
      </c>
      <c r="AD23" s="57">
        <f t="shared" ref="AD23:AD26" si="0">AC24*AD24</f>
        <v>1.0134840303735744</v>
      </c>
      <c r="AE23" s="57"/>
      <c r="AF23" s="57"/>
      <c r="AG23" s="57"/>
      <c r="AH23" s="57"/>
      <c r="AI23" s="57"/>
      <c r="AJ23" s="57"/>
    </row>
    <row r="24" spans="1:36">
      <c r="A24" s="57"/>
      <c r="B24" s="57" t="s">
        <v>100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1.003466091602899</v>
      </c>
      <c r="AC24" s="57">
        <f>+(1+'KJ-vuosi'!B16)^(1/12)</f>
        <v>1.0033540948994528</v>
      </c>
      <c r="AD24" s="57">
        <f t="shared" si="0"/>
        <v>1.0100960722895507</v>
      </c>
      <c r="AE24" s="57"/>
      <c r="AF24" s="57"/>
      <c r="AG24" s="57"/>
      <c r="AH24" s="57"/>
      <c r="AI24" s="57"/>
      <c r="AJ24" s="57"/>
    </row>
    <row r="25" spans="1:36">
      <c r="A25" s="57"/>
      <c r="B25" s="57" t="s">
        <v>101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1.003466091602899</v>
      </c>
      <c r="AC25" s="57">
        <f>+(1+'KJ-vuosi'!B16)^(1/12)</f>
        <v>1.0033540948994528</v>
      </c>
      <c r="AD25" s="57">
        <f t="shared" si="0"/>
        <v>1.0067194397515002</v>
      </c>
      <c r="AE25" s="57"/>
      <c r="AF25" s="57"/>
      <c r="AG25" s="57"/>
      <c r="AH25" s="57"/>
      <c r="AI25" s="57"/>
      <c r="AJ25" s="57"/>
    </row>
    <row r="26" spans="1:36">
      <c r="A26" s="57"/>
      <c r="B26" s="57" t="s">
        <v>102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1.003466091602899</v>
      </c>
      <c r="AC26" s="57">
        <f>+(1+'KJ-vuosi'!B16)^(1/12)</f>
        <v>1.0033540948994528</v>
      </c>
      <c r="AD26" s="57">
        <f t="shared" si="0"/>
        <v>1.0033540948994528</v>
      </c>
      <c r="AE26" s="57"/>
      <c r="AF26" s="57"/>
      <c r="AG26" s="57"/>
      <c r="AH26" s="57"/>
      <c r="AI26" s="57"/>
      <c r="AJ26" s="57"/>
    </row>
    <row r="27" spans="1:36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1.003466091602899</v>
      </c>
      <c r="AC27" s="57">
        <f>+(1+'KJ-vuosi'!B16)^(1/12)</f>
        <v>1.0033540948994528</v>
      </c>
      <c r="AD27" s="57">
        <v>1</v>
      </c>
      <c r="AE27" s="57"/>
      <c r="AF27" s="57"/>
      <c r="AG27" s="57"/>
      <c r="AH27" s="57"/>
      <c r="AI27" s="57"/>
      <c r="AJ27" s="57"/>
    </row>
    <row r="28" spans="1:36">
      <c r="A28" s="5" t="s">
        <v>103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6'!$F$7))/360))</f>
        <v>1</v>
      </c>
      <c r="AC28" s="57">
        <f>+(1+'KJ-vuosi'!B16)^(-1/12)</f>
        <v>0.99665711744587149</v>
      </c>
      <c r="AD28" s="57">
        <v>1</v>
      </c>
      <c r="AE28" s="57"/>
      <c r="AF28" s="57"/>
      <c r="AG28" s="57"/>
      <c r="AH28" s="57"/>
      <c r="AI28" s="57"/>
      <c r="AJ28" s="57"/>
    </row>
    <row r="29" spans="1:36">
      <c r="A29" s="57"/>
      <c r="B29" s="57" t="s">
        <v>104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6'!$F$7))/360))</f>
        <v>1</v>
      </c>
      <c r="AC29" s="57">
        <f>+(1+'KJ-vuosi'!B16)^(-1/12)</f>
        <v>0.99665711744587149</v>
      </c>
      <c r="AD29" s="57">
        <f>+AC28</f>
        <v>0.99665711744587149</v>
      </c>
      <c r="AE29" s="57"/>
      <c r="AF29" s="57"/>
      <c r="AG29" s="57"/>
      <c r="AH29" s="57"/>
      <c r="AI29" s="57"/>
      <c r="AJ29" s="57"/>
    </row>
    <row r="30" spans="1:36">
      <c r="A30" s="57"/>
      <c r="B30" s="57" t="s">
        <v>105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6'!$F$7))/360))</f>
        <v>1</v>
      </c>
      <c r="AC30" s="57">
        <f>+(1+'KJ-vuosi'!B16)^(-1/12)</f>
        <v>0.99665711744587149</v>
      </c>
      <c r="AD30" s="57">
        <f>+AD29*AC29</f>
        <v>0.99332540975551364</v>
      </c>
      <c r="AE30" s="57"/>
      <c r="AF30" s="57"/>
      <c r="AG30" s="57"/>
      <c r="AH30" s="57"/>
      <c r="AI30" s="57"/>
      <c r="AJ30" s="57"/>
    </row>
    <row r="31" spans="1:36">
      <c r="A31" s="57"/>
      <c r="B31" s="57" t="s">
        <v>106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6'!$F$7))/360))</f>
        <v>1</v>
      </c>
      <c r="AC31" s="57">
        <f>+(1+'KJ-vuosi'!B16)^(-1/12)</f>
        <v>0.99665711744587149</v>
      </c>
      <c r="AD31" s="57">
        <f>+AD30*AC30</f>
        <v>0.99000483957266938</v>
      </c>
      <c r="AE31" s="57"/>
      <c r="AF31" s="57"/>
      <c r="AG31" s="57"/>
      <c r="AH31" s="57"/>
      <c r="AI31" s="57"/>
      <c r="AJ31" s="57"/>
    </row>
    <row r="32" spans="1:36">
      <c r="A32" s="57"/>
      <c r="B32" s="57" t="s">
        <v>107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6'!$F$7))/360))</f>
        <v>1</v>
      </c>
      <c r="AC32" s="57">
        <f>+(1+'KJ-vuosi'!B16)^(-1/12)</f>
        <v>0.99665711744587149</v>
      </c>
      <c r="AD32" s="57">
        <f>+AD31*AC31</f>
        <v>0.98669536966595905</v>
      </c>
      <c r="AE32" s="57"/>
      <c r="AF32" s="57"/>
      <c r="AG32" s="57"/>
      <c r="AH32" s="57"/>
      <c r="AI32" s="57"/>
      <c r="AJ32" s="57"/>
    </row>
    <row r="33" spans="1:36">
      <c r="A33" s="57"/>
      <c r="B33" s="57" t="s">
        <v>108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6'!$F$7))/360))</f>
        <v>1</v>
      </c>
      <c r="AC33" s="57">
        <f>+(1+'KJ-vuosi'!B16)^(-1/12)</f>
        <v>0.99665711744587149</v>
      </c>
      <c r="AD33" s="57">
        <f>+AD32*AC32</f>
        <v>0.98339696292846335</v>
      </c>
      <c r="AE33" s="57"/>
      <c r="AF33" s="57"/>
      <c r="AG33" s="57"/>
      <c r="AH33" s="57"/>
      <c r="AI33" s="57"/>
      <c r="AJ33" s="57"/>
    </row>
    <row r="34" spans="1:36">
      <c r="A34" s="57"/>
      <c r="B34" s="57" t="s">
        <v>109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</row>
    <row r="35" spans="1:36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</row>
    <row r="36" spans="1:36">
      <c r="A36" s="57" t="s">
        <v>110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</row>
    <row r="37" spans="1:36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</row>
    <row r="38" spans="1:36" ht="18">
      <c r="A38" s="1" t="s">
        <v>111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</row>
    <row r="39" spans="1:36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</row>
    <row r="40" spans="1:36">
      <c r="A40" s="57" t="s">
        <v>112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</row>
    <row r="41" spans="1:36">
      <c r="A41" s="57" t="s">
        <v>151</v>
      </c>
      <c r="B41" s="57"/>
      <c r="C41" s="57"/>
      <c r="D41" s="76" t="str">
        <f>+"1.7."&amp;TEXT('KJ-vuosi'!$B$3,0)</f>
        <v>1.7.2024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</row>
    <row r="42" spans="1:36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</row>
    <row r="43" spans="1:36">
      <c r="A43" s="5" t="s">
        <v>113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</row>
    <row r="44" spans="1:36">
      <c r="A44" s="57"/>
      <c r="B44" s="57"/>
      <c r="C44" s="58" t="s">
        <v>114</v>
      </c>
      <c r="D44" s="58" t="s">
        <v>115</v>
      </c>
      <c r="E44" s="58" t="s">
        <v>116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</row>
    <row r="45" spans="1:36">
      <c r="A45" s="57"/>
      <c r="B45" s="57"/>
      <c r="C45" s="58" t="s">
        <v>117</v>
      </c>
      <c r="D45" s="77" t="s">
        <v>118</v>
      </c>
      <c r="E45" s="58" t="s">
        <v>119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</row>
    <row r="46" spans="1:36">
      <c r="A46" s="57"/>
      <c r="B46" s="57"/>
      <c r="C46" s="78"/>
      <c r="D46" s="77" t="s">
        <v>120</v>
      </c>
      <c r="E46" s="58" t="str">
        <f>+D41&amp;")"</f>
        <v>1.7.2024)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36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</row>
    <row r="48" spans="1:36">
      <c r="A48" s="5" t="s">
        <v>121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</row>
    <row r="49" spans="1:9">
      <c r="A49" s="57"/>
      <c r="B49" s="57"/>
      <c r="C49" s="58" t="s">
        <v>122</v>
      </c>
      <c r="D49" s="58" t="s">
        <v>122</v>
      </c>
      <c r="E49" s="58" t="s">
        <v>122</v>
      </c>
      <c r="F49" s="58"/>
      <c r="G49" s="58" t="s">
        <v>123</v>
      </c>
      <c r="H49" s="57"/>
      <c r="I49" s="62"/>
    </row>
    <row r="50" spans="1:9">
      <c r="A50" s="5"/>
      <c r="B50" s="57"/>
      <c r="C50" s="79">
        <f>'Virkamies 6'!F$6</f>
        <v>0</v>
      </c>
      <c r="D50" s="79">
        <f>'Virkamies 6'!F$8</f>
        <v>0</v>
      </c>
      <c r="E50" s="76" t="str">
        <f>$D$41</f>
        <v>1.7.2024</v>
      </c>
      <c r="F50" s="79"/>
      <c r="G50" s="58" t="s">
        <v>124</v>
      </c>
      <c r="H50" s="57"/>
      <c r="I50" s="57" t="s">
        <v>125</v>
      </c>
    </row>
    <row r="51" spans="1:9">
      <c r="A51" s="80" t="s">
        <v>126</v>
      </c>
      <c r="B51" s="57"/>
      <c r="C51" s="62">
        <f>C54-C53-C52</f>
        <v>0</v>
      </c>
      <c r="D51" s="62">
        <f>D54-D53-D52</f>
        <v>0</v>
      </c>
      <c r="E51" s="11">
        <f>ROUND(D51*(VLOOKUP(MONTH('Virkamies 6'!$F$7),aika6,4))*(VLOOKUP(MONTH('Virkamies 6'!$F$7),aika6,2)),2)</f>
        <v>0</v>
      </c>
      <c r="F51" s="57"/>
      <c r="G51" s="58" t="s">
        <v>127</v>
      </c>
      <c r="H51" s="57"/>
      <c r="I51" s="57" t="s">
        <v>128</v>
      </c>
    </row>
    <row r="52" spans="1:9">
      <c r="A52" s="80" t="s">
        <v>129</v>
      </c>
      <c r="B52" s="57"/>
      <c r="C52" s="62">
        <f>'Virkamies 6'!$F$12*12*VLOOKUP($D$40,IF(YEAR($F$6)=vuosi,'poa2024'!$F$5:$I$57,IF(YEAR($F$6)=vuosi1,vastuunjako1,vastuunjako2)),3)</f>
        <v>0</v>
      </c>
      <c r="D52" s="62">
        <f>C52*(1+0.031*((IF(DAY('Virkamies 6'!$F$8)=31,DAYS360('Virkamies 6'!$F$6,'Virkamies 6'!$F$8,TRUE)-1,DAYS360('Virkamies 6'!$F$6,'Virkamies 6'!$F$8,TRUE)))/360))</f>
        <v>0</v>
      </c>
      <c r="E52" s="81">
        <f>ROUND(D52*(VLOOKUP(MONTH('Virkamies 6'!$F$7),aika6,4))*(VLOOKUP(MONTH('Virkamies 6'!$F$7),aika6,2)),2)</f>
        <v>0</v>
      </c>
      <c r="F52" s="57"/>
      <c r="G52" s="47">
        <f>E52</f>
        <v>0</v>
      </c>
      <c r="H52" s="57"/>
      <c r="I52" s="57"/>
    </row>
    <row r="53" spans="1:9">
      <c r="A53" s="82" t="s">
        <v>130</v>
      </c>
      <c r="B53" s="83"/>
      <c r="C53" s="84">
        <f>'Virkamies 6'!$F$12*12*VLOOKUP($D$40,IF(YEAR($F$6)=vuosi,'poa2024'!$F$5:$I$57,IF(YEAR($F$6)=vuosi1,vastuunjako1,vastuunjako2)),4)</f>
        <v>0</v>
      </c>
      <c r="D53" s="84">
        <f>C53*(1+0.031*((IF(DAY('Virkamies 6'!$F$8)=31,DAYS360('Virkamies 6'!$F$6,'Virkamies 6'!$F$8,TRUE)-1,DAYS360('Virkamies 6'!$F$6,'Virkamies 6'!$F$8,TRUE)))/360))</f>
        <v>0</v>
      </c>
      <c r="E53" s="85">
        <f>ROUND(D53*(VLOOKUP(MONTH('Virkamies 6'!$F$7),aika6,4))*(VLOOKUP(MONTH('Virkamies 6'!$F$7),aika6,2)),2)</f>
        <v>0</v>
      </c>
      <c r="F53" s="57"/>
      <c r="G53" s="84">
        <f>E53</f>
        <v>0</v>
      </c>
      <c r="H53" s="57"/>
      <c r="I53" s="83"/>
    </row>
    <row r="54" spans="1:9">
      <c r="A54" s="57" t="s">
        <v>131</v>
      </c>
      <c r="B54" s="57"/>
      <c r="C54" s="62">
        <f>'Virkamies 6'!$F$12*12*VLOOKUP($D$40,IF(YEAR($F$6)=vuosi,'poa2024'!$B$5:$C$57,IF(YEAR($F$6)=vuosi1,perusturva1,perusturva2)),2)</f>
        <v>0</v>
      </c>
      <c r="D54" s="62">
        <f>C54*(1+0.031*((IF(DAY('Virkamies 6'!$F$8)=31,DAYS360('Virkamies 6'!$F$6,'Virkamies 6'!$F$8,TRUE)-1,DAYS360('Virkamies 6'!$F$6,'Virkamies 6'!$F$8,TRUE)))/360))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6'!$F$14*12*VLOOKUP($D$40,IF(YEAR($F$6)=vuosi,'poa2024'!B5:C57,IF(YEAR($F$6)=vuosi1,perusturva1,perusturva2)),2))*(1+0.031*((IF(DAY('Virkamies 6'!$F$8)=31,DAYS360('Virkamies 6'!$F$6,'Virkamies 6'!$F$8,TRUE)-1,DAYS360('Virkamies 6'!$F$6,'Virkamies 6'!$F$8,TRUE)))/360))*(VLOOKUP(MONTH('Virkamies 6'!$F$7),aika1,4))*(VLOOKUP(MONTH('Virkamies 6'!$F$7),aika1,2))),2)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132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122</v>
      </c>
      <c r="D57" s="58" t="s">
        <v>122</v>
      </c>
      <c r="E57" s="58" t="s">
        <v>122</v>
      </c>
      <c r="F57" s="57"/>
      <c r="G57" s="57"/>
      <c r="H57" s="57"/>
      <c r="I57" s="57"/>
    </row>
    <row r="58" spans="1:9">
      <c r="A58" s="5"/>
      <c r="B58" s="57"/>
      <c r="C58" s="79">
        <f>'Virkamies 6'!F$6</f>
        <v>0</v>
      </c>
      <c r="D58" s="79">
        <f>'Virkamies 6'!F$8</f>
        <v>0</v>
      </c>
      <c r="E58" s="76" t="str">
        <f>$D$41</f>
        <v>1.7.2024</v>
      </c>
      <c r="F58" s="57"/>
      <c r="G58" s="57"/>
      <c r="H58" s="57"/>
      <c r="I58" s="57"/>
    </row>
    <row r="59" spans="1:9">
      <c r="A59" s="80" t="s">
        <v>126</v>
      </c>
      <c r="B59" s="57"/>
      <c r="C59" s="62">
        <f>C62-C61-C60</f>
        <v>0</v>
      </c>
      <c r="D59" s="62">
        <f>D62-D61-D60</f>
        <v>0</v>
      </c>
      <c r="E59" s="11">
        <f>ROUND(D59*(VLOOKUP(MONTH('Virkamies 6'!$F$7),aika6,4))*(VLOOKUP(MONTH('Virkamies 6'!$F$7),aika6,2)),2)</f>
        <v>0</v>
      </c>
      <c r="F59" s="57"/>
      <c r="G59" s="57"/>
      <c r="H59" s="57"/>
      <c r="I59" s="57"/>
    </row>
    <row r="60" spans="1:9">
      <c r="A60" s="80" t="s">
        <v>129</v>
      </c>
      <c r="B60" s="57"/>
      <c r="C60" s="62">
        <f>'Virkamies 6'!$F$13*12*VLOOKUP($D$40,IF(YEAR($F$6)=vuosi,'poa2024'!$F$5:$I$57,IF(YEAR($F$6)=vuosi1,vastuunjako1,vastuunjako2)),3)</f>
        <v>0</v>
      </c>
      <c r="D60" s="62">
        <f>C60*(1+0.031*((IF(DAY('Virkamies 6'!$F$8)=31,DAYS360('Virkamies 6'!$F$6,'Virkamies 6'!$F$8,TRUE)-1,DAYS360('Virkamies 6'!$F$6,'Virkamies 6'!$F$8,TRUE)))/360))</f>
        <v>0</v>
      </c>
      <c r="E60" s="81">
        <f>ROUND(D60*(VLOOKUP(MONTH('Virkamies 6'!$F$7),aika6,4))*(VLOOKUP(MONTH('Virkamies 6'!$F$7),aika6,2)),2)</f>
        <v>0</v>
      </c>
      <c r="F60" s="57"/>
      <c r="G60" s="57"/>
      <c r="H60" s="57"/>
      <c r="I60" s="57"/>
    </row>
    <row r="61" spans="1:9">
      <c r="A61" s="82" t="s">
        <v>130</v>
      </c>
      <c r="B61" s="83"/>
      <c r="C61" s="84">
        <f>'Virkamies 6'!$F$13*12*VLOOKUP($D$40,IF(YEAR($F$6)=vuosi,'poa2024'!$F$5:$I$57,IF(YEAR($F$6)=vuosi1,vastuunjako1,vastuunjako2)),4)</f>
        <v>0</v>
      </c>
      <c r="D61" s="84">
        <f>C61*(1+0.031*((IF(DAY('Virkamies 6'!$F$8)=31,DAYS360('Virkamies 6'!$F$6,'Virkamies 6'!$F$8,TRUE)-1,DAYS360('Virkamies 6'!$F$6,'Virkamies 6'!$F$8,TRUE)))/360))</f>
        <v>0</v>
      </c>
      <c r="E61" s="85">
        <f>ROUND(D61*(VLOOKUP(MONTH('Virkamies 6'!$F$7),aika6,4))*(VLOOKUP(MONTH('Virkamies 6'!$F$7),aika6,2)),2)</f>
        <v>0</v>
      </c>
      <c r="F61" s="57"/>
      <c r="G61" s="57"/>
      <c r="H61" s="57"/>
      <c r="I61" s="57"/>
    </row>
    <row r="62" spans="1:9">
      <c r="A62" s="57" t="s">
        <v>131</v>
      </c>
      <c r="B62" s="57"/>
      <c r="C62" s="62">
        <f>'Virkamies 6'!$F$13*12*VLOOKUP($D$40,IF(YEAR($F$6)=vuosi,'poa2024'!$B$5:$C$57,IF(YEAR($F$6)=vuosi1,perusturva1,perusturva2)),2)</f>
        <v>0</v>
      </c>
      <c r="D62" s="62">
        <f>C62*(1+0.031*((IF(DAY('Virkamies 6'!$F$8)=31,DAYS360('Virkamies 6'!$F$6,'Virkamies 6'!$F$8,TRUE)-1,DAYS360('Virkamies 6'!$F$6,'Virkamies 6'!$F$8,TRUE)))/360))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133</v>
      </c>
      <c r="B64" s="57"/>
      <c r="C64" s="62"/>
      <c r="D64" s="57"/>
      <c r="E64" s="57"/>
      <c r="F64" s="57"/>
      <c r="G64" s="57"/>
      <c r="H64" s="57"/>
      <c r="I64" s="57"/>
    </row>
    <row r="65" spans="1:13">
      <c r="A65" s="5"/>
      <c r="B65" s="57"/>
      <c r="C65" s="58" t="s">
        <v>122</v>
      </c>
      <c r="D65" s="58" t="s">
        <v>122</v>
      </c>
      <c r="E65" s="58" t="s">
        <v>122</v>
      </c>
      <c r="F65" s="57"/>
      <c r="G65" s="58" t="s">
        <v>123</v>
      </c>
      <c r="H65" s="57"/>
      <c r="I65" s="57"/>
      <c r="J65" s="57"/>
      <c r="K65" s="57"/>
      <c r="L65" s="57"/>
      <c r="M65" s="57"/>
    </row>
    <row r="66" spans="1:13">
      <c r="A66" s="5"/>
      <c r="B66" s="57"/>
      <c r="C66" s="79">
        <f>'Virkamies 6'!F$6</f>
        <v>0</v>
      </c>
      <c r="D66" s="79">
        <f>'Virkamies 6'!F$8</f>
        <v>0</v>
      </c>
      <c r="E66" s="76" t="str">
        <f>$D$41</f>
        <v>1.7.2024</v>
      </c>
      <c r="F66" s="57"/>
      <c r="G66" s="58" t="s">
        <v>134</v>
      </c>
      <c r="H66" s="57"/>
      <c r="I66" s="57"/>
      <c r="J66" s="57"/>
      <c r="K66" s="57"/>
      <c r="L66" s="57"/>
      <c r="M66" s="57"/>
    </row>
    <row r="67" spans="1:13">
      <c r="A67" s="80" t="s">
        <v>126</v>
      </c>
      <c r="B67" s="57"/>
      <c r="C67" s="62">
        <f>C70-C69-C68</f>
        <v>0</v>
      </c>
      <c r="D67" s="62">
        <f>D70-D69-D68</f>
        <v>0</v>
      </c>
      <c r="E67" s="11">
        <f>ROUND(D67*(VLOOKUP(MONTH('Virkamies 6'!$F$7),aikaYEL6,4))*(VLOOKUP(MONTH('Virkamies 6'!$F$7),aikaYEL6,2)),2)</f>
        <v>0</v>
      </c>
      <c r="F67" s="57"/>
      <c r="G67" s="58" t="s">
        <v>135</v>
      </c>
      <c r="H67" s="57"/>
      <c r="I67" s="57"/>
      <c r="J67" s="57"/>
      <c r="K67" s="57"/>
      <c r="L67" s="57"/>
      <c r="M67" s="57"/>
    </row>
    <row r="68" spans="1:13">
      <c r="A68" s="80" t="s">
        <v>129</v>
      </c>
      <c r="B68" s="57"/>
      <c r="C68" s="62">
        <f>'Virkamies 6'!$F$15*12*VLOOKUP($D$40,IF(YEAR($F$6)=vuosi,'poa2024'!$F$5:$I$57,IF(YEAR($F$6)=vuosi1,vastuunjako1,vastuunjako2)),3)</f>
        <v>0</v>
      </c>
      <c r="D68" s="62">
        <f>C68*(1+0.031*((IF(DAY('Virkamies 6'!$F$8)=31,DAYS360('Virkamies 6'!$F$6,'Virkamies 6'!$F$8,TRUE)-1,DAYS360('Virkamies 6'!$F$6,'Virkamies 6'!$F$8,TRUE)))/360))</f>
        <v>0</v>
      </c>
      <c r="E68" s="81">
        <f>ROUND(D68*(VLOOKUP(MONTH('Virkamies 6'!$F$7),aikaYEL6,4))*(VLOOKUP(MONTH('Virkamies 6'!$F$7),aikaYEL6,2)),2)</f>
        <v>0</v>
      </c>
      <c r="F68" s="57"/>
      <c r="G68" s="62">
        <f>E68</f>
        <v>0</v>
      </c>
      <c r="H68" s="57"/>
      <c r="I68" s="57"/>
      <c r="J68" s="57"/>
      <c r="K68" s="57"/>
      <c r="L68" s="57"/>
      <c r="M68" s="57"/>
    </row>
    <row r="69" spans="1:13">
      <c r="A69" s="82" t="s">
        <v>130</v>
      </c>
      <c r="B69" s="83"/>
      <c r="C69" s="84">
        <f>'Virkamies 6'!$F$15*12*VLOOKUP($D$40,IF(YEAR($F$6)=vuosi,'poa2024'!$F$5:$I$57,IF(YEAR($F$6)=vuosi1,vastuunjako1,vastuunjako2)),4)</f>
        <v>0</v>
      </c>
      <c r="D69" s="84">
        <f>C69*(1+0.031*((IF(DAY('Virkamies 6'!$F$8)=31,DAYS360('Virkamies 6'!$F$6,'Virkamies 6'!$F$8,TRUE)-1,DAYS360('Virkamies 6'!$F$6,'Virkamies 6'!$F$8,TRUE)))/360))</f>
        <v>0</v>
      </c>
      <c r="E69" s="85">
        <f>ROUND(D69*(VLOOKUP(MONTH('Virkamies 6'!$F$7),aikaYEL6,4))*(VLOOKUP(MONTH('Virkamies 6'!$F$7),aikaYEL6,2)),2)</f>
        <v>0</v>
      </c>
      <c r="F69" s="57"/>
      <c r="G69" s="84">
        <f>E69</f>
        <v>0</v>
      </c>
      <c r="H69" s="57"/>
      <c r="I69" s="57"/>
      <c r="J69" s="57"/>
      <c r="K69" s="57"/>
      <c r="L69" s="57"/>
      <c r="M69" s="57"/>
    </row>
    <row r="70" spans="1:13">
      <c r="A70" s="57" t="s">
        <v>131</v>
      </c>
      <c r="B70" s="57"/>
      <c r="C70" s="62">
        <f>'Virkamies 6'!$F$15*12*VLOOKUP($D$40,IF(YEAR($F$6)=vuosi,'poa2024'!$B$5:$C$57,IF(YEAR($F$6)=vuosi1,perusturva1,perusturva2)),2)</f>
        <v>0</v>
      </c>
      <c r="D70" s="62">
        <f>C70*(1+0.031*((IF(DAY('Virkamies 6'!$F$8)=31,DAYS360('Virkamies 6'!$F$6,'Virkamies 6'!$F$8,TRUE)-1,DAYS360('Virkamies 6'!$F$6,'Virkamies 6'!$F$8,TRUE)))/360))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  <c r="L70" s="57"/>
      <c r="M70" s="57"/>
    </row>
    <row r="71" spans="1:13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  <c r="L71" s="57"/>
      <c r="M71" s="57"/>
    </row>
    <row r="72" spans="1:13">
      <c r="A72" s="5" t="s">
        <v>136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  <c r="L72" s="57"/>
      <c r="M72" s="57"/>
    </row>
    <row r="73" spans="1:13">
      <c r="A73" s="5"/>
      <c r="B73" s="57"/>
      <c r="C73" s="58" t="s">
        <v>122</v>
      </c>
      <c r="D73" s="58" t="s">
        <v>122</v>
      </c>
      <c r="E73" s="58" t="s">
        <v>122</v>
      </c>
      <c r="F73" s="57"/>
      <c r="G73" s="58"/>
      <c r="H73" s="57"/>
      <c r="I73" s="57"/>
      <c r="J73" s="57"/>
      <c r="K73" s="57"/>
      <c r="L73" s="57"/>
      <c r="M73" s="57"/>
    </row>
    <row r="74" spans="1:13">
      <c r="A74" s="5"/>
      <c r="B74" s="57"/>
      <c r="C74" s="79">
        <f>'Virkamies 6'!F$6</f>
        <v>0</v>
      </c>
      <c r="D74" s="79">
        <f>'Virkamies 6'!F$8</f>
        <v>0</v>
      </c>
      <c r="E74" s="76" t="str">
        <f>$D$41</f>
        <v>1.7.2024</v>
      </c>
      <c r="F74" s="57"/>
      <c r="G74" s="58"/>
      <c r="H74" s="57"/>
      <c r="I74" s="57"/>
      <c r="J74" s="57"/>
      <c r="K74" s="57"/>
      <c r="L74" s="57"/>
      <c r="M74" s="57"/>
    </row>
    <row r="75" spans="1:13">
      <c r="A75" s="80" t="s">
        <v>126</v>
      </c>
      <c r="B75" s="57"/>
      <c r="C75" s="62">
        <f>C78-C77-C76</f>
        <v>0</v>
      </c>
      <c r="D75" s="62">
        <f>D78-D77-D76</f>
        <v>0</v>
      </c>
      <c r="E75" s="11">
        <f>ROUND(D75*(VLOOKUP(MONTH('Virkamies 6'!$F$7),aika6,4))*(VLOOKUP(MONTH('Virkamies 6'!$F$7),aika6,2)),2)</f>
        <v>0</v>
      </c>
      <c r="F75" s="57"/>
      <c r="G75" s="58"/>
      <c r="H75" s="57"/>
      <c r="I75" s="57"/>
      <c r="J75" s="57"/>
      <c r="K75" s="57"/>
      <c r="L75" s="57"/>
      <c r="M75" s="57"/>
    </row>
    <row r="76" spans="1:13">
      <c r="A76" s="80" t="s">
        <v>129</v>
      </c>
      <c r="B76" s="57"/>
      <c r="C76" s="62">
        <f>'Virkamies 6'!$F$16*12*VLOOKUP($D$40,IF(YEAR($F$6)=vuosi,'poa2024'!$F$5:$I$57,IF(YEAR($F$6)=vuosi1,vastuunjako1,vastuunjako2)),3)</f>
        <v>0</v>
      </c>
      <c r="D76" s="62">
        <f>C76*(1+0.031*((IF(DAY('Virkamies 6'!$F$8)=31,DAYS360('Virkamies 6'!$F$6,'Virkamies 6'!$F$8,TRUE)-1,DAYS360('Virkamies 6'!$F$6,'Virkamies 6'!$F$8,TRUE)))/360))</f>
        <v>0</v>
      </c>
      <c r="E76" s="11">
        <f>ROUND(D76*(VLOOKUP(MONTH('Virkamies 6'!$F$7),aika6,4))*(VLOOKUP(MONTH('Virkamies 6'!$F$7),aika6,2)),2)</f>
        <v>0</v>
      </c>
      <c r="F76" s="57"/>
      <c r="G76" s="58"/>
      <c r="H76" s="57"/>
      <c r="I76" s="57"/>
      <c r="J76" s="57"/>
      <c r="K76" s="57"/>
      <c r="L76" s="57"/>
      <c r="M76" s="57"/>
    </row>
    <row r="77" spans="1:13">
      <c r="A77" s="82" t="s">
        <v>130</v>
      </c>
      <c r="B77" s="83"/>
      <c r="C77" s="84">
        <f>'Virkamies 6'!$F$16*12*VLOOKUP($D$40,IF(YEAR($F$6)=vuosi,'poa2024'!$F$5:$I$57,IF(YEAR($F$6)=vuosi1,vastuunjako1,vastuunjako2)),4)</f>
        <v>0</v>
      </c>
      <c r="D77" s="84">
        <f>C77*(1+0.031*((IF(DAY('Virkamies 6'!$F$8)=31,DAYS360('Virkamies 6'!$F$6,'Virkamies 6'!$F$8,TRUE)-1,DAYS360('Virkamies 6'!$F$6,'Virkamies 6'!$F$8,TRUE)))/360))</f>
        <v>0</v>
      </c>
      <c r="E77" s="48">
        <f>ROUND(D77*(VLOOKUP(MONTH('Virkamies 6'!$F$7),aika6,4))*(VLOOKUP(MONTH('Virkamies 6'!$F$7),aika6,2)),2)</f>
        <v>0</v>
      </c>
      <c r="F77" s="57"/>
      <c r="G77" s="58"/>
      <c r="H77" s="57"/>
      <c r="I77" s="57"/>
      <c r="J77" s="57"/>
      <c r="K77" s="57"/>
      <c r="L77" s="57"/>
      <c r="M77" s="57"/>
    </row>
    <row r="78" spans="1:13">
      <c r="A78" s="57" t="s">
        <v>131</v>
      </c>
      <c r="B78" s="57"/>
      <c r="C78" s="62">
        <f>'Virkamies 6'!$F$16*12*VLOOKUP($D$40,IF(YEAR($F$6)=vuosi,'poa2024'!$B$5:$C$57,IF(YEAR($F$6)=vuosi1,perusturva1,perusturva2)),2)</f>
        <v>0</v>
      </c>
      <c r="D78" s="62">
        <f>C78*(1+0.031*((IF(DAY('Virkamies 6'!$F$8)=31,DAYS360('Virkamies 6'!$F$6,'Virkamies 6'!$F$8,TRUE)-1,DAYS360('Virkamies 6'!$F$6,'Virkamies 6'!$F$8,TRUE)))/360))</f>
        <v>0</v>
      </c>
      <c r="E78" s="62">
        <f>SUM(E75:E77)</f>
        <v>0</v>
      </c>
      <c r="F78" s="25"/>
      <c r="G78" s="58"/>
      <c r="H78" s="86" t="s">
        <v>137</v>
      </c>
      <c r="I78" s="57" t="s">
        <v>138</v>
      </c>
      <c r="J78" s="57"/>
      <c r="K78" s="57"/>
      <c r="L78" s="57"/>
      <c r="M78" s="57"/>
    </row>
    <row r="79" spans="1:13">
      <c r="A79" s="57"/>
      <c r="B79" s="57"/>
      <c r="C79" s="62"/>
      <c r="D79" s="62"/>
      <c r="E79" s="62"/>
      <c r="F79" s="57"/>
      <c r="G79" s="58"/>
      <c r="H79" s="58"/>
      <c r="I79" s="57" t="s">
        <v>139</v>
      </c>
      <c r="J79" s="57"/>
      <c r="K79" s="57"/>
      <c r="L79" s="57"/>
      <c r="M79" s="57"/>
    </row>
    <row r="80" spans="1:13">
      <c r="A80" s="5" t="s">
        <v>145</v>
      </c>
      <c r="B80" s="57"/>
      <c r="C80" s="62">
        <f>'Virkamies 6'!$F$21*12*VLOOKUP($D$40,IF(YEAR($F$6)=vuosi,'poa2024'!$B$62:$E$114,IF(YEAR($F$6)=vuosi1,lisäturva1,lisäturva2)),2)+'Virkamies 6'!$F$22*12*VLOOKUP($D$40,IF(YEAR($F$6)=vuosi,'poa2024'!$B$62:$E$114,IF(YEAR($F$6)=vuosi1,lisäturva1,lisäturva2)),IF('Virkamies 6'!$F$23="LL",3,4))</f>
        <v>0</v>
      </c>
      <c r="D80" s="62">
        <f>C80*(1+0.031*((IF(DAY('Virkamies 6'!$F$8)=31,DAYS360('Virkamies 6'!$F$6,'Virkamies 6'!$F$8,TRUE)-1,DAYS360('Virkamies 6'!$F$6,'Virkamies 6'!$F$8,TRUE)))/360))</f>
        <v>0</v>
      </c>
      <c r="E80" s="11">
        <f>ROUND(D80*(VLOOKUP(MONTH('Virkamies 6'!$F$7),aika6,4))*(VLOOKUP(MONTH('Virkamies 6'!$F$7),aika6,2)),2)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  <c r="L80" s="57"/>
      <c r="M80" s="57"/>
    </row>
    <row r="81" spans="1:13">
      <c r="A81" s="80"/>
      <c r="B81" s="57"/>
      <c r="C81" s="62"/>
      <c r="D81" s="57"/>
      <c r="E81" s="11"/>
      <c r="F81" s="58"/>
      <c r="G81" s="86"/>
      <c r="H81" s="57"/>
      <c r="I81" s="57"/>
      <c r="J81" s="57"/>
      <c r="K81" s="57"/>
      <c r="L81" s="57"/>
      <c r="M81" s="57"/>
    </row>
    <row r="82" spans="1:13">
      <c r="A82" s="5" t="s">
        <v>146</v>
      </c>
      <c r="B82" s="57"/>
      <c r="C82" s="62">
        <f>'Virkamies 6'!$F$24*12*VLOOKUP($D$40,IF(YEAR($F$6)=vuosi,'poa2024'!$B$62:$E$114,IF(YEAR($F$6)=vuosi1,lisäturva1,lisäturva2)),2)+'Virkamies 6'!$F$25*12*VLOOKUP($D$40,IF(YEAR($F$6)=vuosi,'poa2024'!$B$62:$E$114,IF(YEAR($F$6)=vuosi1,lisäturva1,lisäturva2)),IF('Virkamies 6'!$F$26="LL",3,4))</f>
        <v>0</v>
      </c>
      <c r="D82" s="62">
        <f>C82*(1+0.031*((IF(DAY('Virkamies 6'!$F$8)=31,DAYS360('Virkamies 6'!$F$6,'Virkamies 6'!$F$8,TRUE)-1,DAYS360('Virkamies 6'!$F$6,'Virkamies 6'!$F$8,TRUE)))/360))</f>
        <v>0</v>
      </c>
      <c r="E82" s="11">
        <f>ROUND(D82*(VLOOKUP(MONTH('Virkamies 6'!$F$7),aikaYEL6,4))*(VLOOKUP(MONTH('Virkamies 6'!$F$7),aikaYEL6,2)),2)</f>
        <v>0</v>
      </c>
      <c r="F82" s="57"/>
      <c r="G82" s="86"/>
      <c r="H82" s="57"/>
      <c r="I82" s="57"/>
      <c r="J82" s="57"/>
      <c r="K82" s="57"/>
      <c r="L82" s="57"/>
      <c r="M82" s="57"/>
    </row>
    <row r="83" spans="1:13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  <c r="L83" s="57"/>
      <c r="M83" s="57"/>
    </row>
    <row r="84" spans="1:13">
      <c r="A84" s="5" t="s">
        <v>142</v>
      </c>
      <c r="B84" s="57"/>
      <c r="C84" s="62">
        <f>'Virkamies 6'!$F$17*12*VLOOKUP($D$40,IF(YEAR($F$6)=vuosi,'poa2024'!$B$5:$C$57,IF(YEAR($F$6)=vuosi1,perusturva1,perusturva2)),2)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6'!$F$7),aika6,4))*(VLOOKUP(MONTH('Virkamies 6'!$F$7),aika6,2)),2)</f>
        <v>0</v>
      </c>
      <c r="F84" s="25"/>
      <c r="G84" s="62"/>
      <c r="H84" s="57"/>
      <c r="I84" s="62"/>
      <c r="J84" s="57"/>
      <c r="K84" s="57"/>
      <c r="L84" s="57"/>
      <c r="M84" s="57"/>
    </row>
    <row r="85" spans="1:13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  <c r="L85" s="57"/>
      <c r="M85" s="57"/>
    </row>
    <row r="86" spans="1:13">
      <c r="A86" s="5" t="s">
        <v>131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  <c r="L86" s="57"/>
      <c r="M86" s="57"/>
    </row>
    <row r="87" spans="1:13">
      <c r="A87" s="57"/>
      <c r="B87" s="57"/>
      <c r="C87" s="57"/>
      <c r="D87" s="57"/>
      <c r="E87" s="62"/>
      <c r="F87" s="57"/>
      <c r="G87" s="57"/>
      <c r="H87" s="57"/>
      <c r="I87" s="62"/>
      <c r="J87" s="57"/>
      <c r="K87" s="57"/>
      <c r="L87" s="57"/>
      <c r="M87" s="57"/>
    </row>
    <row r="89" spans="1:13">
      <c r="A89" s="57"/>
      <c r="B89" s="57"/>
      <c r="C89" s="57"/>
      <c r="D89" s="57"/>
      <c r="E89" s="62"/>
      <c r="F89" s="57"/>
      <c r="G89" s="57"/>
      <c r="H89" s="57"/>
      <c r="I89" s="57"/>
      <c r="J89" s="57"/>
      <c r="K89" s="57"/>
      <c r="L89" s="57"/>
      <c r="M89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12"/>
  <dimension ref="A1:AH93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0.7109375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143</v>
      </c>
      <c r="AC1" s="58" t="s">
        <v>77</v>
      </c>
      <c r="AD1" s="57" t="s">
        <v>78</v>
      </c>
      <c r="AE1" s="57"/>
      <c r="AF1" s="57"/>
      <c r="AG1" s="57"/>
      <c r="AH1" s="65" t="str">
        <f>LEFT(F5,2)&amp;"."&amp;MID(F5,3,2)&amp;".19"&amp;MID(F5,5,2)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>
      <c r="A3" s="5" t="s">
        <v>80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1.003466091602899</v>
      </c>
      <c r="AC3" s="57">
        <f>+(1+'KJ-vuosi'!B4)^(1/12)</f>
        <v>1.0033540948994528</v>
      </c>
      <c r="AD3" s="57">
        <f>AC4*AD4</f>
        <v>1.0168833519905274</v>
      </c>
      <c r="AE3" s="57"/>
      <c r="AF3" s="57"/>
      <c r="AG3" s="57"/>
      <c r="AH3" s="57"/>
    </row>
    <row r="4" spans="1:34">
      <c r="A4" s="5"/>
      <c r="B4" s="57" t="s">
        <v>82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1.003466091602899</v>
      </c>
      <c r="AC4" s="57">
        <f>+(1+'KJ-vuosi'!B5)^(1/12)</f>
        <v>1.0033540948994528</v>
      </c>
      <c r="AD4" s="57">
        <f>AC5*AD5</f>
        <v>1.0134840303735744</v>
      </c>
      <c r="AE4" s="57"/>
      <c r="AF4" s="57"/>
      <c r="AG4" s="57"/>
      <c r="AH4" s="57"/>
    </row>
    <row r="5" spans="1:34">
      <c r="A5" s="57"/>
      <c r="B5" s="57" t="s">
        <v>83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1.003466091602899</v>
      </c>
      <c r="AC5" s="57">
        <f>+(1+'KJ-vuosi'!B6)^(1/12)</f>
        <v>1.0033540948994528</v>
      </c>
      <c r="AD5" s="57">
        <f>AC6*AD6</f>
        <v>1.0100960722895507</v>
      </c>
      <c r="AE5" s="57"/>
      <c r="AF5" s="57"/>
      <c r="AG5" s="57"/>
      <c r="AH5" s="57"/>
    </row>
    <row r="6" spans="1:34">
      <c r="A6" s="57"/>
      <c r="B6" s="57" t="s">
        <v>84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1.003466091602899</v>
      </c>
      <c r="AC6" s="57">
        <f>+(1+'KJ-vuosi'!B7)^(1/12)</f>
        <v>1.0033540948994528</v>
      </c>
      <c r="AD6" s="57">
        <f>AC7*AD7</f>
        <v>1.0067194397515002</v>
      </c>
      <c r="AE6" s="57"/>
      <c r="AF6" s="57"/>
      <c r="AG6" s="57"/>
      <c r="AH6" s="57"/>
    </row>
    <row r="7" spans="1:34">
      <c r="A7" s="57"/>
      <c r="B7" s="57" t="s">
        <v>85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1.003466091602899</v>
      </c>
      <c r="AC7" s="57">
        <f>+(1+'KJ-vuosi'!B8)^(1/12)</f>
        <v>1.0033540948994528</v>
      </c>
      <c r="AD7" s="57">
        <f>AC8</f>
        <v>1.0033540948994528</v>
      </c>
      <c r="AE7" s="57"/>
      <c r="AF7" s="57"/>
      <c r="AG7" s="57"/>
      <c r="AH7" s="57"/>
    </row>
    <row r="8" spans="1:34">
      <c r="A8" s="57"/>
      <c r="B8" s="57" t="s">
        <v>86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1.003466091602899</v>
      </c>
      <c r="AC8" s="57">
        <f>+(1+'KJ-vuosi'!B9)^(1/12)</f>
        <v>1.0033540948994528</v>
      </c>
      <c r="AD8" s="57">
        <v>1</v>
      </c>
      <c r="AE8" s="57"/>
      <c r="AF8" s="57"/>
      <c r="AG8" s="57"/>
      <c r="AH8" s="57"/>
    </row>
    <row r="9" spans="1:34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7'!$F$7))/360))</f>
        <v>1</v>
      </c>
      <c r="AC9" s="57">
        <f>+(1+'KJ-vuosi'!B10)^(-1/12)</f>
        <v>0.99693686989174457</v>
      </c>
      <c r="AD9" s="57">
        <v>1</v>
      </c>
      <c r="AE9" s="57"/>
      <c r="AF9" s="57"/>
      <c r="AG9" s="57"/>
      <c r="AH9" s="57"/>
    </row>
    <row r="10" spans="1:34">
      <c r="A10" s="5" t="s">
        <v>87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7'!$F$7))/360))</f>
        <v>1</v>
      </c>
      <c r="AC10" s="57">
        <f>+(1+'KJ-vuosi'!B11)^(-1/12)</f>
        <v>0.99693686989174457</v>
      </c>
      <c r="AD10" s="57">
        <f>AC9</f>
        <v>0.99693686989174457</v>
      </c>
      <c r="AE10" s="57"/>
      <c r="AF10" s="57"/>
      <c r="AG10" s="57"/>
      <c r="AH10" s="57"/>
    </row>
    <row r="11" spans="1:34">
      <c r="A11" s="5" t="s">
        <v>88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7'!$F$7))/360))</f>
        <v>1</v>
      </c>
      <c r="AC11" s="57">
        <f>+(1+'KJ-vuosi'!B12)^(-1/12)</f>
        <v>0.99693686989174457</v>
      </c>
      <c r="AD11" s="57">
        <f>AD10*AC10</f>
        <v>0.99388312254954925</v>
      </c>
      <c r="AE11" s="57"/>
      <c r="AF11" s="57"/>
      <c r="AG11" s="57"/>
      <c r="AH11" s="57"/>
    </row>
    <row r="12" spans="1:34">
      <c r="A12" s="57"/>
      <c r="B12" s="57" t="s">
        <v>89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7'!$F$7))/360))</f>
        <v>1</v>
      </c>
      <c r="AC12" s="57">
        <f>+(1+'KJ-vuosi'!B13)^(-1/12)</f>
        <v>0.99693686989174457</v>
      </c>
      <c r="AD12" s="57">
        <f>AD11*AC11</f>
        <v>0.99083872923278082</v>
      </c>
      <c r="AE12" s="57"/>
      <c r="AF12" s="57"/>
      <c r="AG12" s="57"/>
      <c r="AH12" s="57"/>
    </row>
    <row r="13" spans="1:34">
      <c r="A13" s="57"/>
      <c r="B13" s="57" t="s">
        <v>90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7'!$F$7))/360))</f>
        <v>1</v>
      </c>
      <c r="AC13" s="57">
        <f>+(1+'KJ-vuosi'!B14)^(-1/12)</f>
        <v>0.99693686989174457</v>
      </c>
      <c r="AD13" s="57">
        <f>AD12*AC12</f>
        <v>0.98780366128884234</v>
      </c>
      <c r="AE13" s="57"/>
      <c r="AF13" s="57"/>
      <c r="AG13" s="57"/>
      <c r="AH13" s="57"/>
    </row>
    <row r="14" spans="1:34">
      <c r="A14" s="57"/>
      <c r="B14" s="57" t="s">
        <v>144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7'!$F$7))/360))</f>
        <v>1</v>
      </c>
      <c r="AC14" s="57">
        <f>+(1+'KJ-vuosi'!B15)^(-1/12)</f>
        <v>0.99693686989174457</v>
      </c>
      <c r="AD14" s="57">
        <f>AD13*AC13</f>
        <v>0.98477789015290351</v>
      </c>
      <c r="AE14" s="57"/>
      <c r="AF14" s="57"/>
      <c r="AG14" s="57"/>
      <c r="AH14" s="57"/>
    </row>
    <row r="15" spans="1:34">
      <c r="A15" s="57"/>
      <c r="B15" s="57" t="s">
        <v>92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93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94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95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88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76</v>
      </c>
      <c r="AC20" s="57" t="s">
        <v>77</v>
      </c>
      <c r="AD20" s="57" t="s">
        <v>78</v>
      </c>
      <c r="AE20" s="57"/>
      <c r="AF20" s="57"/>
      <c r="AG20" s="57"/>
      <c r="AH20" s="65" t="str">
        <f>LEFT(F5,2)&amp;"."&amp;MID(F5,3,2)&amp;".19"&amp;MID(F5,5,2)</f>
        <v>..19</v>
      </c>
    </row>
    <row r="21" spans="1:34">
      <c r="A21" s="57"/>
      <c r="B21" s="57" t="s">
        <v>96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79</v>
      </c>
      <c r="AC21" s="57"/>
      <c r="AD21" s="57"/>
      <c r="AE21" s="57"/>
      <c r="AF21" s="57"/>
      <c r="AG21" s="57"/>
      <c r="AH21" s="57"/>
    </row>
    <row r="22" spans="1:34">
      <c r="A22" s="57"/>
      <c r="B22" s="57" t="s">
        <v>97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98</v>
      </c>
      <c r="AA22" s="57">
        <v>1</v>
      </c>
      <c r="AB22" s="66">
        <f>(1+'KJ-vuosi'!$B$16)^((31-DAY($F$7))/360)</f>
        <v>1.003466091602899</v>
      </c>
      <c r="AC22" s="57">
        <f>+(1+'KJ-vuosi'!B16)^(1/12)</f>
        <v>1.0033540948994528</v>
      </c>
      <c r="AD22" s="57">
        <f>AC23*AD23</f>
        <v>1.0168833519905274</v>
      </c>
      <c r="AE22" s="57"/>
      <c r="AF22" s="57"/>
      <c r="AG22" s="57"/>
      <c r="AH22" s="57"/>
    </row>
    <row r="23" spans="1:34">
      <c r="A23" s="57"/>
      <c r="B23" s="57" t="s">
        <v>99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1.003466091602899</v>
      </c>
      <c r="AC23" s="57">
        <f>+(1+'KJ-vuosi'!B16)^(1/12)</f>
        <v>1.0033540948994528</v>
      </c>
      <c r="AD23" s="57">
        <f t="shared" ref="AD23:AD26" si="0">AC24*AD24</f>
        <v>1.0134840303735744</v>
      </c>
      <c r="AE23" s="57"/>
      <c r="AF23" s="57"/>
      <c r="AG23" s="57"/>
      <c r="AH23" s="57"/>
    </row>
    <row r="24" spans="1:34">
      <c r="A24" s="57"/>
      <c r="B24" s="57" t="s">
        <v>100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1.003466091602899</v>
      </c>
      <c r="AC24" s="57">
        <f>+(1+'KJ-vuosi'!B16)^(1/12)</f>
        <v>1.0033540948994528</v>
      </c>
      <c r="AD24" s="57">
        <f t="shared" si="0"/>
        <v>1.0100960722895507</v>
      </c>
      <c r="AE24" s="57"/>
      <c r="AF24" s="57"/>
      <c r="AG24" s="57"/>
      <c r="AH24" s="57"/>
    </row>
    <row r="25" spans="1:34">
      <c r="A25" s="57"/>
      <c r="B25" s="57" t="s">
        <v>101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1.003466091602899</v>
      </c>
      <c r="AC25" s="57">
        <f>+(1+'KJ-vuosi'!B16)^(1/12)</f>
        <v>1.0033540948994528</v>
      </c>
      <c r="AD25" s="57">
        <f t="shared" si="0"/>
        <v>1.0067194397515002</v>
      </c>
      <c r="AE25" s="57"/>
      <c r="AF25" s="57"/>
      <c r="AG25" s="57"/>
      <c r="AH25" s="57"/>
    </row>
    <row r="26" spans="1:34">
      <c r="A26" s="57"/>
      <c r="B26" s="57" t="s">
        <v>102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1.003466091602899</v>
      </c>
      <c r="AC26" s="57">
        <f>+(1+'KJ-vuosi'!B16)^(1/12)</f>
        <v>1.0033540948994528</v>
      </c>
      <c r="AD26" s="57">
        <f t="shared" si="0"/>
        <v>1.0033540948994528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1.003466091602899</v>
      </c>
      <c r="AC27" s="57">
        <f>+(1+'KJ-vuosi'!B16)^(1/12)</f>
        <v>1.0033540948994528</v>
      </c>
      <c r="AD27" s="57">
        <v>1</v>
      </c>
      <c r="AE27" s="57"/>
      <c r="AF27" s="57"/>
      <c r="AG27" s="57"/>
      <c r="AH27" s="57"/>
    </row>
    <row r="28" spans="1:34">
      <c r="A28" s="5" t="s">
        <v>103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7'!$F$7))/360))</f>
        <v>1</v>
      </c>
      <c r="AC28" s="57">
        <f>+(1+'KJ-vuosi'!B16)^(-1/12)</f>
        <v>0.99665711744587149</v>
      </c>
      <c r="AD28" s="57">
        <v>1</v>
      </c>
      <c r="AE28" s="57"/>
      <c r="AF28" s="57"/>
      <c r="AG28" s="57"/>
      <c r="AH28" s="57"/>
    </row>
    <row r="29" spans="1:34">
      <c r="A29" s="57"/>
      <c r="B29" s="57" t="s">
        <v>104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7'!$F$7))/360))</f>
        <v>1</v>
      </c>
      <c r="AC29" s="57">
        <f>+(1+'KJ-vuosi'!B16)^(-1/12)</f>
        <v>0.99665711744587149</v>
      </c>
      <c r="AD29" s="57">
        <f>+AC28</f>
        <v>0.99665711744587149</v>
      </c>
      <c r="AE29" s="57"/>
      <c r="AF29" s="57"/>
      <c r="AG29" s="57"/>
      <c r="AH29" s="57"/>
    </row>
    <row r="30" spans="1:34">
      <c r="A30" s="57"/>
      <c r="B30" s="57" t="s">
        <v>105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7'!$F$7))/360))</f>
        <v>1</v>
      </c>
      <c r="AC30" s="57">
        <f>+(1+'KJ-vuosi'!B16)^(-1/12)</f>
        <v>0.99665711744587149</v>
      </c>
      <c r="AD30" s="57">
        <f>+AD29*AC29</f>
        <v>0.99332540975551364</v>
      </c>
      <c r="AE30" s="57"/>
      <c r="AF30" s="57"/>
      <c r="AG30" s="57"/>
      <c r="AH30" s="57"/>
    </row>
    <row r="31" spans="1:34">
      <c r="A31" s="57"/>
      <c r="B31" s="57" t="s">
        <v>106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7'!$F$7))/360))</f>
        <v>1</v>
      </c>
      <c r="AC31" s="57">
        <f>+(1+'KJ-vuosi'!B16)^(-1/12)</f>
        <v>0.99665711744587149</v>
      </c>
      <c r="AD31" s="57">
        <f>+AD30*AC30</f>
        <v>0.99000483957266938</v>
      </c>
      <c r="AE31" s="57"/>
      <c r="AF31" s="57"/>
      <c r="AG31" s="57"/>
      <c r="AH31" s="57"/>
    </row>
    <row r="32" spans="1:34">
      <c r="A32" s="57"/>
      <c r="B32" s="57" t="s">
        <v>107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7'!$F$7))/360))</f>
        <v>1</v>
      </c>
      <c r="AC32" s="57">
        <f>+(1+'KJ-vuosi'!B16)^(-1/12)</f>
        <v>0.99665711744587149</v>
      </c>
      <c r="AD32" s="57">
        <f>+AD31*AC31</f>
        <v>0.98669536966595905</v>
      </c>
      <c r="AE32" s="57"/>
      <c r="AF32" s="57"/>
      <c r="AG32" s="57"/>
      <c r="AH32" s="57"/>
    </row>
    <row r="33" spans="1:34">
      <c r="A33" s="57"/>
      <c r="B33" s="57" t="s">
        <v>108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7'!$F$7))/360))</f>
        <v>1</v>
      </c>
      <c r="AC33" s="57">
        <f>+(1+'KJ-vuosi'!B16)^(-1/12)</f>
        <v>0.99665711744587149</v>
      </c>
      <c r="AD33" s="57">
        <f>+AD32*AC32</f>
        <v>0.98339696292846335</v>
      </c>
      <c r="AE33" s="57"/>
      <c r="AF33" s="57"/>
      <c r="AG33" s="57"/>
      <c r="AH33" s="57"/>
    </row>
    <row r="34" spans="1:34">
      <c r="A34" s="57"/>
      <c r="B34" s="57" t="s">
        <v>109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</row>
    <row r="35" spans="1:34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</row>
    <row r="36" spans="1:34">
      <c r="A36" s="57" t="s">
        <v>110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</row>
    <row r="38" spans="1:34" ht="18">
      <c r="A38" s="1" t="s">
        <v>111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</row>
    <row r="39" spans="1:34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</row>
    <row r="40" spans="1:34">
      <c r="A40" s="57" t="s">
        <v>112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</row>
    <row r="41" spans="1:34">
      <c r="A41" s="57" t="s">
        <v>151</v>
      </c>
      <c r="B41" s="57"/>
      <c r="C41" s="57"/>
      <c r="D41" s="76" t="str">
        <f>+"1.7."&amp;TEXT('KJ-vuosi'!$B$3,0)</f>
        <v>1.7.2024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</row>
    <row r="42" spans="1:34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</row>
    <row r="43" spans="1:34">
      <c r="A43" s="5" t="s">
        <v>113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</row>
    <row r="44" spans="1:34">
      <c r="A44" s="57"/>
      <c r="B44" s="57"/>
      <c r="C44" s="58" t="s">
        <v>114</v>
      </c>
      <c r="D44" s="58" t="s">
        <v>115</v>
      </c>
      <c r="E44" s="58" t="s">
        <v>116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</row>
    <row r="45" spans="1:34">
      <c r="A45" s="57"/>
      <c r="B45" s="57"/>
      <c r="C45" s="58" t="s">
        <v>117</v>
      </c>
      <c r="D45" s="77" t="s">
        <v>118</v>
      </c>
      <c r="E45" s="58" t="s">
        <v>119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</row>
    <row r="46" spans="1:34">
      <c r="A46" s="57"/>
      <c r="B46" s="57"/>
      <c r="C46" s="78"/>
      <c r="D46" s="77" t="s">
        <v>120</v>
      </c>
      <c r="E46" s="58" t="str">
        <f>+D41&amp;")"</f>
        <v>1.7.2024)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</row>
    <row r="47" spans="1:34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</row>
    <row r="48" spans="1:34">
      <c r="A48" s="5" t="s">
        <v>121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</row>
    <row r="49" spans="1:9">
      <c r="A49" s="57"/>
      <c r="B49" s="57"/>
      <c r="C49" s="58" t="s">
        <v>122</v>
      </c>
      <c r="D49" s="58" t="s">
        <v>122</v>
      </c>
      <c r="E49" s="58" t="s">
        <v>122</v>
      </c>
      <c r="F49" s="58"/>
      <c r="G49" s="58" t="s">
        <v>123</v>
      </c>
      <c r="H49" s="57"/>
      <c r="I49" s="62"/>
    </row>
    <row r="50" spans="1:9">
      <c r="A50" s="5"/>
      <c r="B50" s="57"/>
      <c r="C50" s="79">
        <f>'Virkamies 7'!F$6</f>
        <v>0</v>
      </c>
      <c r="D50" s="79">
        <f>'Virkamies 7'!F$8</f>
        <v>0</v>
      </c>
      <c r="E50" s="76" t="str">
        <f>$D$41</f>
        <v>1.7.2024</v>
      </c>
      <c r="F50" s="79"/>
      <c r="G50" s="58" t="s">
        <v>124</v>
      </c>
      <c r="H50" s="57"/>
      <c r="I50" s="57" t="s">
        <v>125</v>
      </c>
    </row>
    <row r="51" spans="1:9">
      <c r="A51" s="80" t="s">
        <v>126</v>
      </c>
      <c r="B51" s="57"/>
      <c r="C51" s="62">
        <f>C54-C53-C52</f>
        <v>0</v>
      </c>
      <c r="D51" s="62">
        <f>D54-D53-D52</f>
        <v>0</v>
      </c>
      <c r="E51" s="11">
        <f>ROUND(D51*(VLOOKUP(MONTH('Virkamies 7'!$F$7),aika7,4))*(VLOOKUP(MONTH('Virkamies 7'!$F$7),aika7,2)),2)</f>
        <v>0</v>
      </c>
      <c r="F51" s="57"/>
      <c r="G51" s="58" t="s">
        <v>127</v>
      </c>
      <c r="H51" s="57"/>
      <c r="I51" s="57" t="s">
        <v>128</v>
      </c>
    </row>
    <row r="52" spans="1:9">
      <c r="A52" s="80" t="s">
        <v>129</v>
      </c>
      <c r="B52" s="57"/>
      <c r="C52" s="62">
        <f>'Virkamies 7'!$F$12*12*VLOOKUP($D$40,IF(YEAR($F$6)=vuosi,'poa2024'!$F$5:$I$57,IF(YEAR($F$6)=vuosi1,vastuunjako1,vastuunjako2)),3)</f>
        <v>0</v>
      </c>
      <c r="D52" s="62">
        <f>C52*(1+0.031*((IF(DAY('Virkamies 7'!$F$8)=31,DAYS360('Virkamies 7'!$F$6,'Virkamies 7'!$F$8,TRUE)-1,DAYS360('Virkamies 7'!$F$6,'Virkamies 7'!$F$8,TRUE)))/360))</f>
        <v>0</v>
      </c>
      <c r="E52" s="81">
        <f>ROUND(D52*(VLOOKUP(MONTH('Virkamies 7'!$F$7),aika7,4))*(VLOOKUP(MONTH('Virkamies 7'!$F$7),aika7,2)),2)</f>
        <v>0</v>
      </c>
      <c r="F52" s="57"/>
      <c r="G52" s="47">
        <f>E52</f>
        <v>0</v>
      </c>
      <c r="H52" s="57"/>
      <c r="I52" s="57"/>
    </row>
    <row r="53" spans="1:9">
      <c r="A53" s="82" t="s">
        <v>130</v>
      </c>
      <c r="B53" s="83"/>
      <c r="C53" s="84">
        <f>'Virkamies 7'!$F$12*12*VLOOKUP($D$40,IF(YEAR($F$6)=vuosi,'poa2024'!$F$5:$I$57,IF(YEAR($F$6)=vuosi1,vastuunjako1,vastuunjako2)),4)</f>
        <v>0</v>
      </c>
      <c r="D53" s="84">
        <f>C53*(1+0.031*((IF(DAY('Virkamies 7'!$F$8)=31,DAYS360('Virkamies 7'!$F$6,'Virkamies 7'!$F$8,TRUE)-1,DAYS360('Virkamies 7'!$F$6,'Virkamies 7'!$F$8,TRUE)))/360))</f>
        <v>0</v>
      </c>
      <c r="E53" s="85">
        <f>ROUND(D53*(VLOOKUP(MONTH('Virkamies 7'!$F$7),aika7,4))*(VLOOKUP(MONTH('Virkamies 7'!$F$7),aika7,2)),2)</f>
        <v>0</v>
      </c>
      <c r="F53" s="57"/>
      <c r="G53" s="84">
        <f>E53</f>
        <v>0</v>
      </c>
      <c r="H53" s="57"/>
      <c r="I53" s="83"/>
    </row>
    <row r="54" spans="1:9">
      <c r="A54" s="57" t="s">
        <v>131</v>
      </c>
      <c r="B54" s="57"/>
      <c r="C54" s="62">
        <f>'Virkamies 7'!$F$12*12*VLOOKUP($D$40,IF(YEAR($F$6)=vuosi,'poa2024'!$B$5:$C$57,IF(YEAR($F$6)=vuosi1,perusturva1,perusturva2)),2)</f>
        <v>0</v>
      </c>
      <c r="D54" s="62">
        <f>C54*(1+0.031*((IF(DAY('Virkamies 7'!$F$8)=31,DAYS360('Virkamies 7'!$F$6,'Virkamies 7'!$F$8,TRUE)-1,DAYS360('Virkamies 7'!$F$6,'Virkamies 7'!$F$8,TRUE)))/360))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7'!$F$14*12*VLOOKUP($D$40,IF(YEAR($F$6)=vuosi,'poa2024'!B5:C57,IF(YEAR($F$6)=vuosi1,perusturva1,perusturva2)),2))*(1+0.031*((IF(DAY('Virkamies 7'!$F$8)=31,DAYS360('Virkamies 7'!$F$6,'Virkamies 7'!$F$8,TRUE)-1,DAYS360('Virkamies 7'!$F$6,'Virkamies 7'!$F$8,TRUE)))/360))*(VLOOKUP(MONTH('Virkamies 7'!$F$7),aika1,4))*(VLOOKUP(MONTH('Virkamies 7'!$F$7),aika1,2))),2)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132</v>
      </c>
      <c r="B56" s="57"/>
      <c r="C56" s="62"/>
      <c r="D56" s="62"/>
      <c r="E56" s="62"/>
      <c r="F56" s="57"/>
      <c r="G56" s="57"/>
      <c r="H56" s="62"/>
      <c r="I56" s="57"/>
    </row>
    <row r="57" spans="1:9">
      <c r="A57" s="57"/>
      <c r="B57" s="57"/>
      <c r="C57" s="58" t="s">
        <v>122</v>
      </c>
      <c r="D57" s="58" t="s">
        <v>122</v>
      </c>
      <c r="E57" s="58" t="s">
        <v>122</v>
      </c>
      <c r="F57" s="57"/>
      <c r="G57" s="57"/>
      <c r="H57" s="57"/>
      <c r="I57" s="57"/>
    </row>
    <row r="58" spans="1:9">
      <c r="A58" s="5"/>
      <c r="B58" s="57"/>
      <c r="C58" s="79">
        <f>'Virkamies 7'!F$6</f>
        <v>0</v>
      </c>
      <c r="D58" s="79">
        <f>'Virkamies 7'!F$8</f>
        <v>0</v>
      </c>
      <c r="E58" s="76" t="str">
        <f>$D$41</f>
        <v>1.7.2024</v>
      </c>
      <c r="F58" s="57"/>
      <c r="G58" s="57"/>
      <c r="H58" s="57"/>
      <c r="I58" s="57"/>
    </row>
    <row r="59" spans="1:9">
      <c r="A59" s="80" t="s">
        <v>126</v>
      </c>
      <c r="B59" s="57"/>
      <c r="C59" s="62">
        <f>C62-C61-C60</f>
        <v>0</v>
      </c>
      <c r="D59" s="62">
        <f>D62-D61-D60</f>
        <v>0</v>
      </c>
      <c r="E59" s="11">
        <f>ROUND(D59*(VLOOKUP(MONTH('Virkamies 7'!$F$7),aika7,4))*(VLOOKUP(MONTH('Virkamies 7'!$F$7),aika7,2)),2)</f>
        <v>0</v>
      </c>
      <c r="F59" s="57"/>
      <c r="G59" s="57"/>
      <c r="H59" s="57"/>
      <c r="I59" s="57"/>
    </row>
    <row r="60" spans="1:9">
      <c r="A60" s="80" t="s">
        <v>129</v>
      </c>
      <c r="B60" s="57"/>
      <c r="C60" s="62">
        <f>'Virkamies 7'!$F$13*12*VLOOKUP($D$40,IF(YEAR($F$6)=vuosi,'poa2024'!$F$5:$I$57,IF(YEAR($F$6)=vuosi1,vastuunjako1,vastuunjako2)),3)</f>
        <v>0</v>
      </c>
      <c r="D60" s="62">
        <f>C60*(1+0.031*((IF(DAY('Virkamies 7'!$F$8)=31,DAYS360('Virkamies 7'!$F$6,'Virkamies 7'!$F$8,TRUE)-1,DAYS360('Virkamies 7'!$F$6,'Virkamies 7'!$F$8,TRUE)))/360))</f>
        <v>0</v>
      </c>
      <c r="E60" s="81">
        <f>ROUND(D60*(VLOOKUP(MONTH('Virkamies 7'!$F$7),aika7,4))*(VLOOKUP(MONTH('Virkamies 7'!$F$7),aika7,2)),2)</f>
        <v>0</v>
      </c>
      <c r="F60" s="57"/>
      <c r="G60" s="57"/>
      <c r="H60" s="57"/>
      <c r="I60" s="57"/>
    </row>
    <row r="61" spans="1:9">
      <c r="A61" s="82" t="s">
        <v>130</v>
      </c>
      <c r="B61" s="83"/>
      <c r="C61" s="84">
        <f>'Virkamies 7'!$F$13*12*VLOOKUP($D$40,IF(YEAR($F$6)=vuosi,'poa2024'!$F$5:$I$57,IF(YEAR($F$6)=vuosi1,vastuunjako1,vastuunjako2)),4)</f>
        <v>0</v>
      </c>
      <c r="D61" s="84">
        <f>C61*(1+0.031*((IF(DAY('Virkamies 7'!$F$8)=31,DAYS360('Virkamies 7'!$F$6,'Virkamies 7'!$F$8,TRUE)-1,DAYS360('Virkamies 7'!$F$6,'Virkamies 7'!$F$8,TRUE)))/360))</f>
        <v>0</v>
      </c>
      <c r="E61" s="85">
        <f>ROUND(D61*(VLOOKUP(MONTH('Virkamies 7'!$F$7),aika7,4))*(VLOOKUP(MONTH('Virkamies 7'!$F$7),aika7,2)),2)</f>
        <v>0</v>
      </c>
      <c r="F61" s="57"/>
      <c r="G61" s="57"/>
      <c r="H61" s="57"/>
      <c r="I61" s="57"/>
    </row>
    <row r="62" spans="1:9">
      <c r="A62" s="57" t="s">
        <v>131</v>
      </c>
      <c r="B62" s="57"/>
      <c r="C62" s="62">
        <f>'Virkamies 7'!$F$13*12*VLOOKUP($D$40,IF(YEAR($F$6)=vuosi,'poa2024'!$B$5:$C$57,IF(YEAR($F$6)=vuosi1,perusturva1,perusturva2)),2)</f>
        <v>0</v>
      </c>
      <c r="D62" s="62">
        <f>C62*(1+0.031*((IF(DAY('Virkamies 7'!$F$8)=31,DAYS360('Virkamies 7'!$F$6,'Virkamies 7'!$F$8,TRUE)-1,DAYS360('Virkamies 7'!$F$6,'Virkamies 7'!$F$8,TRUE)))/360))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133</v>
      </c>
      <c r="B64" s="57"/>
      <c r="C64" s="62"/>
      <c r="D64" s="57"/>
      <c r="E64" s="57"/>
      <c r="F64" s="57"/>
      <c r="G64" s="57"/>
      <c r="H64" s="57"/>
      <c r="I64" s="57"/>
    </row>
    <row r="65" spans="1:11">
      <c r="A65" s="5"/>
      <c r="B65" s="57"/>
      <c r="C65" s="58" t="s">
        <v>122</v>
      </c>
      <c r="D65" s="58" t="s">
        <v>122</v>
      </c>
      <c r="E65" s="58" t="s">
        <v>122</v>
      </c>
      <c r="F65" s="57"/>
      <c r="G65" s="58" t="s">
        <v>123</v>
      </c>
      <c r="H65" s="57"/>
      <c r="I65" s="57"/>
      <c r="J65" s="57"/>
      <c r="K65" s="57"/>
    </row>
    <row r="66" spans="1:11">
      <c r="A66" s="5"/>
      <c r="B66" s="57"/>
      <c r="C66" s="79">
        <f>'Virkamies 7'!F$6</f>
        <v>0</v>
      </c>
      <c r="D66" s="79">
        <f>'Virkamies 7'!F$8</f>
        <v>0</v>
      </c>
      <c r="E66" s="76" t="str">
        <f>$D$41</f>
        <v>1.7.2024</v>
      </c>
      <c r="F66" s="57"/>
      <c r="G66" s="58" t="s">
        <v>134</v>
      </c>
      <c r="H66" s="57"/>
      <c r="I66" s="57"/>
      <c r="J66" s="57"/>
      <c r="K66" s="57"/>
    </row>
    <row r="67" spans="1:11">
      <c r="A67" s="80" t="s">
        <v>126</v>
      </c>
      <c r="B67" s="57"/>
      <c r="C67" s="62">
        <f>C70-C69-C68</f>
        <v>0</v>
      </c>
      <c r="D67" s="62">
        <f>D70-D69-D68</f>
        <v>0</v>
      </c>
      <c r="E67" s="11">
        <f>ROUND(D67*(VLOOKUP(MONTH('Virkamies 7'!$F$7),aikaYEL7,4))*(VLOOKUP(MONTH('Virkamies 7'!$F$7),aikaYEL7,2)),2)</f>
        <v>0</v>
      </c>
      <c r="F67" s="57"/>
      <c r="G67" s="58" t="s">
        <v>135</v>
      </c>
      <c r="H67" s="57"/>
      <c r="I67" s="57"/>
      <c r="J67" s="57"/>
      <c r="K67" s="57"/>
    </row>
    <row r="68" spans="1:11">
      <c r="A68" s="80" t="s">
        <v>129</v>
      </c>
      <c r="B68" s="57"/>
      <c r="C68" s="62">
        <f>'Virkamies 7'!$F$15*12*VLOOKUP($D$40,IF(YEAR($F$6)=vuosi,'poa2024'!$F$5:$I$57,IF(YEAR($F$6)=vuosi1,vastuunjako1,vastuunjako2)),3)</f>
        <v>0</v>
      </c>
      <c r="D68" s="62">
        <f>C68*(1+0.031*((IF(DAY('Virkamies 7'!$F$8)=31,DAYS360('Virkamies 7'!$F$6,'Virkamies 7'!$F$8,TRUE)-1,DAYS360('Virkamies 7'!$F$6,'Virkamies 7'!$F$8,TRUE)))/360))</f>
        <v>0</v>
      </c>
      <c r="E68" s="81">
        <f>ROUND(D68*(VLOOKUP(MONTH('Virkamies 7'!$F$7),aikaYEL7,4))*(VLOOKUP(MONTH('Virkamies 7'!$F$7),aikaYEL7,2)),2)</f>
        <v>0</v>
      </c>
      <c r="F68" s="57"/>
      <c r="G68" s="62">
        <f>E68</f>
        <v>0</v>
      </c>
      <c r="H68" s="57"/>
      <c r="I68" s="57"/>
      <c r="J68" s="57"/>
      <c r="K68" s="57"/>
    </row>
    <row r="69" spans="1:11">
      <c r="A69" s="82" t="s">
        <v>130</v>
      </c>
      <c r="B69" s="83"/>
      <c r="C69" s="84">
        <f>'Virkamies 7'!$F$15*12*VLOOKUP($D$40,IF(YEAR($F$6)=vuosi,'poa2024'!$F$5:$I$57,IF(YEAR($F$6)=vuosi1,vastuunjako1,vastuunjako2)),4)</f>
        <v>0</v>
      </c>
      <c r="D69" s="84">
        <f>C69*(1+0.031*((IF(DAY('Virkamies 7'!$F$8)=31,DAYS360('Virkamies 7'!$F$6,'Virkamies 7'!$F$8,TRUE)-1,DAYS360('Virkamies 7'!$F$6,'Virkamies 7'!$F$8,TRUE)))/360))</f>
        <v>0</v>
      </c>
      <c r="E69" s="85">
        <f>ROUND(D69*(VLOOKUP(MONTH('Virkamies 7'!$F$7),aikaYEL7,4))*(VLOOKUP(MONTH('Virkamies 7'!$F$7),aikaYEL7,2)),2)</f>
        <v>0</v>
      </c>
      <c r="F69" s="57"/>
      <c r="G69" s="84">
        <f>E69</f>
        <v>0</v>
      </c>
      <c r="H69" s="57"/>
      <c r="I69" s="57"/>
      <c r="J69" s="57"/>
      <c r="K69" s="57"/>
    </row>
    <row r="70" spans="1:11">
      <c r="A70" s="57" t="s">
        <v>131</v>
      </c>
      <c r="B70" s="57"/>
      <c r="C70" s="62">
        <f>'Virkamies 7'!$F$15*12*VLOOKUP($D$40,IF(YEAR($F$6)=vuosi,'poa2024'!$B$5:$C$57,IF(YEAR($F$6)=vuosi1,perusturva1,perusturva2)),2)</f>
        <v>0</v>
      </c>
      <c r="D70" s="62">
        <f>C70*(1+0.031*((IF(DAY('Virkamies 7'!$F$8)=31,DAYS360('Virkamies 7'!$F$6,'Virkamies 7'!$F$8,TRUE)-1,DAYS360('Virkamies 7'!$F$6,'Virkamies 7'!$F$8,TRUE)))/360))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</row>
    <row r="71" spans="1:11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</row>
    <row r="72" spans="1:11">
      <c r="A72" s="5" t="s">
        <v>136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</row>
    <row r="73" spans="1:11">
      <c r="A73" s="5"/>
      <c r="B73" s="57"/>
      <c r="C73" s="58" t="s">
        <v>122</v>
      </c>
      <c r="D73" s="58" t="s">
        <v>122</v>
      </c>
      <c r="E73" s="58" t="s">
        <v>122</v>
      </c>
      <c r="F73" s="57"/>
      <c r="G73" s="58"/>
      <c r="H73" s="57"/>
      <c r="I73" s="57"/>
      <c r="J73" s="57"/>
      <c r="K73" s="57"/>
    </row>
    <row r="74" spans="1:11">
      <c r="A74" s="5"/>
      <c r="B74" s="57"/>
      <c r="C74" s="79">
        <f>'Virkamies 7'!F$6</f>
        <v>0</v>
      </c>
      <c r="D74" s="79">
        <f>'Virkamies 7'!F$8</f>
        <v>0</v>
      </c>
      <c r="E74" s="76" t="str">
        <f>$D$41</f>
        <v>1.7.2024</v>
      </c>
      <c r="F74" s="57"/>
      <c r="G74" s="58"/>
      <c r="H74" s="57"/>
      <c r="I74" s="57"/>
      <c r="J74" s="57"/>
      <c r="K74" s="57"/>
    </row>
    <row r="75" spans="1:11">
      <c r="A75" s="80" t="s">
        <v>126</v>
      </c>
      <c r="B75" s="57"/>
      <c r="C75" s="62">
        <f>C78-C77-C76</f>
        <v>0</v>
      </c>
      <c r="D75" s="62">
        <f>D78-D77-D76</f>
        <v>0</v>
      </c>
      <c r="E75" s="11">
        <f>ROUND(D75*(VLOOKUP(MONTH('Virkamies 7'!$F$7),aika7,4))*(VLOOKUP(MONTH('Virkamies 7'!$F$7),aika7,2)),2)</f>
        <v>0</v>
      </c>
      <c r="F75" s="57"/>
      <c r="G75" s="58"/>
      <c r="H75" s="57"/>
      <c r="I75" s="57"/>
      <c r="J75" s="57"/>
      <c r="K75" s="57"/>
    </row>
    <row r="76" spans="1:11">
      <c r="A76" s="80" t="s">
        <v>129</v>
      </c>
      <c r="B76" s="57"/>
      <c r="C76" s="62">
        <f>'Virkamies 7'!$F$16*12*VLOOKUP($D$40,IF(YEAR($F$6)=vuosi,'poa2024'!$F$5:$I$57,IF(YEAR($F$6)=vuosi1,vastuunjako1,vastuunjako2)),3)</f>
        <v>0</v>
      </c>
      <c r="D76" s="62">
        <f>C76*(1+0.031*((IF(DAY('Virkamies 7'!$F$8)=31,DAYS360('Virkamies 7'!$F$6,'Virkamies 7'!$F$8,TRUE)-1,DAYS360('Virkamies 7'!$F$6,'Virkamies 7'!$F$8,TRUE)))/360))</f>
        <v>0</v>
      </c>
      <c r="E76" s="11">
        <f>ROUND(D76*(VLOOKUP(MONTH('Virkamies 7'!$F$7),aika7,4))*(VLOOKUP(MONTH('Virkamies 7'!$F$7),aika7,2)),2)</f>
        <v>0</v>
      </c>
      <c r="F76" s="57"/>
      <c r="G76" s="58"/>
      <c r="H76" s="57"/>
      <c r="I76" s="57"/>
      <c r="J76" s="57"/>
      <c r="K76" s="57"/>
    </row>
    <row r="77" spans="1:11">
      <c r="A77" s="82" t="s">
        <v>130</v>
      </c>
      <c r="B77" s="83"/>
      <c r="C77" s="84">
        <f>'Virkamies 7'!$F$16*12*VLOOKUP($D$40,IF(YEAR($F$6)=vuosi,'poa2024'!$F$5:$I$57,IF(YEAR($F$6)=vuosi1,vastuunjako1,vastuunjako2)),4)</f>
        <v>0</v>
      </c>
      <c r="D77" s="84">
        <f>C77*(1+0.031*((IF(DAY('Virkamies 7'!$F$8)=31,DAYS360('Virkamies 7'!$F$6,'Virkamies 7'!$F$8,TRUE)-1,DAYS360('Virkamies 7'!$F$6,'Virkamies 7'!$F$8,TRUE)))/360))</f>
        <v>0</v>
      </c>
      <c r="E77" s="48">
        <f>ROUND(D77*(VLOOKUP(MONTH('Virkamies 7'!$F$7),aika7,4))*(VLOOKUP(MONTH('Virkamies 7'!$F$7),aika7,2)),2)</f>
        <v>0</v>
      </c>
      <c r="F77" s="57"/>
      <c r="G77" s="58"/>
      <c r="H77" s="57"/>
      <c r="I77" s="57"/>
      <c r="J77" s="57"/>
      <c r="K77" s="57"/>
    </row>
    <row r="78" spans="1:11">
      <c r="A78" s="57" t="s">
        <v>131</v>
      </c>
      <c r="B78" s="57"/>
      <c r="C78" s="62">
        <f>'Virkamies 7'!$F$16*12*VLOOKUP($D$40,IF(YEAR($F$6)=vuosi,'poa2024'!$B$5:$C$57,IF(YEAR($F$6)=vuosi1,perusturva1,perusturva2)),2)</f>
        <v>0</v>
      </c>
      <c r="D78" s="62">
        <f>C78*(1+0.031*((IF(DAY('Virkamies 7'!$F$8)=31,DAYS360('Virkamies 7'!$F$6,'Virkamies 7'!$F$8,TRUE)-1,DAYS360('Virkamies 7'!$F$6,'Virkamies 7'!$F$8,TRUE)))/360))</f>
        <v>0</v>
      </c>
      <c r="E78" s="62">
        <f>SUM(E75:E77)</f>
        <v>0</v>
      </c>
      <c r="F78" s="25"/>
      <c r="G78" s="58"/>
      <c r="H78" s="86" t="s">
        <v>137</v>
      </c>
      <c r="I78" s="57" t="s">
        <v>138</v>
      </c>
      <c r="J78" s="57"/>
      <c r="K78" s="57"/>
    </row>
    <row r="79" spans="1:11">
      <c r="A79" s="57"/>
      <c r="B79" s="57"/>
      <c r="C79" s="62"/>
      <c r="D79" s="62"/>
      <c r="E79" s="62"/>
      <c r="F79" s="57"/>
      <c r="G79" s="58"/>
      <c r="H79" s="58"/>
      <c r="I79" s="57" t="s">
        <v>139</v>
      </c>
      <c r="J79" s="57"/>
      <c r="K79" s="57"/>
    </row>
    <row r="80" spans="1:11">
      <c r="A80" s="5" t="s">
        <v>145</v>
      </c>
      <c r="B80" s="57"/>
      <c r="C80" s="62">
        <f>'Virkamies 7'!$F$21*12*VLOOKUP($D$40,IF(YEAR($F$6)=vuosi,'poa2024'!$B$62:$E$114,IF(YEAR($F$6)=vuosi1,lisäturva1,lisäturva2)),2)+'Virkamies 7'!$F$22*12*VLOOKUP($D$40,IF(YEAR($F$6)=vuosi,'poa2024'!$B$62:$E$114,IF(YEAR($F$6)=vuosi1,lisäturva1,lisäturva2)),IF('Virkamies 7'!$F$23="LL",3,4))</f>
        <v>0</v>
      </c>
      <c r="D80" s="62">
        <f>C80*(1+0.031*((IF(DAY('Virkamies 7'!$F$8)=31,DAYS360('Virkamies 7'!$F$6,'Virkamies 7'!$F$8,TRUE)-1,DAYS360('Virkamies 7'!$F$6,'Virkamies 7'!$F$8,TRUE)))/360))</f>
        <v>0</v>
      </c>
      <c r="E80" s="11">
        <f>ROUND(D80*(VLOOKUP(MONTH('Virkamies 7'!$F$7),aika7,4))*(VLOOKUP(MONTH('Virkamies 7'!$F$7),aika7,2)),2)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</row>
    <row r="81" spans="1:11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</row>
    <row r="82" spans="1:11">
      <c r="A82" s="5" t="s">
        <v>146</v>
      </c>
      <c r="B82" s="57"/>
      <c r="C82" s="62">
        <f>'Virkamies 7'!$F$24*12*VLOOKUP($D$40,IF(YEAR($F$6)=vuosi,'poa2024'!$B$62:$E$114,IF(YEAR($F$6)=vuosi1,lisäturva1,lisäturva2)),2)+'Virkamies 7'!$F$25*12*VLOOKUP($D$40,IF(YEAR($F$6)=vuosi,'poa2024'!$B$62:$E$114,IF(YEAR($F$6)=vuosi1,lisäturva1,lisäturva2)),IF('Virkamies 7'!$F$26="LL",3,4))</f>
        <v>0</v>
      </c>
      <c r="D82" s="62">
        <f>C82*(1+0.031*((IF(DAY('Virkamies 7'!$F$8)=31,DAYS360('Virkamies 7'!$F$6,'Virkamies 7'!$F$8,TRUE)-1,DAYS360('Virkamies 7'!$F$6,'Virkamies 7'!$F$8,TRUE)))/360))</f>
        <v>0</v>
      </c>
      <c r="E82" s="11">
        <f>ROUND(D82*(VLOOKUP(MONTH('Virkamies 7'!$F$7),aikaYEL7,4))*(VLOOKUP(MONTH('Virkamies 7'!$F$7),aikaYEL7,2)),2)</f>
        <v>0</v>
      </c>
      <c r="F82" s="57"/>
      <c r="G82" s="86"/>
      <c r="H82" s="57"/>
      <c r="I82" s="57"/>
      <c r="J82" s="57"/>
      <c r="K82" s="57"/>
    </row>
    <row r="83" spans="1:11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</row>
    <row r="84" spans="1:11">
      <c r="A84" s="5" t="s">
        <v>142</v>
      </c>
      <c r="B84" s="57"/>
      <c r="C84" s="62">
        <f>'Virkamies 7'!$F$17*12*VLOOKUP($D$40,IF(YEAR($F$6)=vuosi,'poa2024'!$B$5:$C$57,IF(YEAR($F$6)=vuosi1,perusturva1,perusturva2)),2)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7'!$F$7),aika7,4))*(VLOOKUP(MONTH('Virkamies 7'!$F$7),aika7,2)),2)</f>
        <v>0</v>
      </c>
      <c r="F84" s="25"/>
      <c r="G84" s="62"/>
      <c r="H84" s="57"/>
      <c r="I84" s="62"/>
      <c r="J84" s="57"/>
      <c r="K84" s="57"/>
    </row>
    <row r="85" spans="1:11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</row>
    <row r="86" spans="1:11">
      <c r="A86" s="5" t="s">
        <v>131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</row>
    <row r="87" spans="1:1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90" spans="1:11">
      <c r="A90" s="57"/>
      <c r="B90" s="57"/>
      <c r="C90" s="57"/>
      <c r="D90" s="57"/>
      <c r="E90" s="62"/>
      <c r="F90" s="57"/>
      <c r="G90" s="57"/>
      <c r="H90" s="57"/>
      <c r="I90" s="62"/>
      <c r="J90" s="57"/>
      <c r="K90" s="57"/>
    </row>
    <row r="91" spans="1:11">
      <c r="A91" s="57"/>
      <c r="B91" s="80"/>
      <c r="C91" s="57"/>
      <c r="D91" s="57"/>
      <c r="E91" s="27"/>
      <c r="F91" s="26"/>
      <c r="G91" s="57"/>
      <c r="H91" s="57"/>
      <c r="I91" s="57"/>
      <c r="J91" s="57"/>
      <c r="K91" s="57"/>
    </row>
    <row r="92" spans="1:11">
      <c r="A92" s="57"/>
      <c r="B92" s="80"/>
      <c r="C92" s="57"/>
      <c r="D92" s="57"/>
      <c r="E92" s="57"/>
      <c r="F92" s="57"/>
      <c r="G92" s="57"/>
      <c r="H92" s="57"/>
      <c r="I92" s="57"/>
      <c r="J92" s="57"/>
      <c r="K92" s="57"/>
    </row>
    <row r="93" spans="1:1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ul13"/>
  <dimension ref="A1:AI87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0.5703125" style="6" customWidth="1"/>
    <col min="10" max="27" width="9.140625" style="6"/>
    <col min="28" max="28" width="11.5703125" style="6" customWidth="1"/>
    <col min="29" max="16384" width="9.140625" style="6"/>
  </cols>
  <sheetData>
    <row r="1" spans="1:35" ht="18">
      <c r="A1" s="1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143</v>
      </c>
      <c r="AC1" s="58" t="s">
        <v>77</v>
      </c>
      <c r="AD1" s="57" t="s">
        <v>78</v>
      </c>
      <c r="AE1" s="57"/>
      <c r="AF1" s="57"/>
      <c r="AG1" s="57"/>
      <c r="AH1" s="65" t="str">
        <f>LEFT(F5,2)&amp;"."&amp;MID(F5,3,2)&amp;".19"&amp;MID(F5,5,2)</f>
        <v>..19</v>
      </c>
      <c r="AI1" s="57"/>
    </row>
    <row r="2" spans="1:35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</row>
    <row r="3" spans="1:35">
      <c r="A3" s="5" t="s">
        <v>80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1.003466091602899</v>
      </c>
      <c r="AC3" s="57">
        <f>+(1+'KJ-vuosi'!B4)^(1/12)</f>
        <v>1.0033540948994528</v>
      </c>
      <c r="AD3" s="57">
        <f>AC4*AD4</f>
        <v>1.0168833519905274</v>
      </c>
      <c r="AE3" s="57"/>
      <c r="AF3" s="57"/>
      <c r="AG3" s="57"/>
      <c r="AH3" s="57"/>
      <c r="AI3" s="57"/>
    </row>
    <row r="4" spans="1:35">
      <c r="A4" s="5"/>
      <c r="B4" s="57" t="s">
        <v>82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1.003466091602899</v>
      </c>
      <c r="AC4" s="57">
        <f>+(1+'KJ-vuosi'!B5)^(1/12)</f>
        <v>1.0033540948994528</v>
      </c>
      <c r="AD4" s="57">
        <f>AC5*AD5</f>
        <v>1.0134840303735744</v>
      </c>
      <c r="AE4" s="57"/>
      <c r="AF4" s="57"/>
      <c r="AG4" s="57"/>
      <c r="AH4" s="57"/>
      <c r="AI4" s="57"/>
    </row>
    <row r="5" spans="1:35">
      <c r="A5" s="57"/>
      <c r="B5" s="57" t="s">
        <v>83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1.003466091602899</v>
      </c>
      <c r="AC5" s="57">
        <f>+(1+'KJ-vuosi'!B6)^(1/12)</f>
        <v>1.0033540948994528</v>
      </c>
      <c r="AD5" s="57">
        <f>AC6*AD6</f>
        <v>1.0100960722895507</v>
      </c>
      <c r="AE5" s="57"/>
      <c r="AF5" s="57"/>
      <c r="AG5" s="57"/>
      <c r="AH5" s="57"/>
      <c r="AI5" s="57"/>
    </row>
    <row r="6" spans="1:35">
      <c r="A6" s="57"/>
      <c r="B6" s="57" t="s">
        <v>84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1.003466091602899</v>
      </c>
      <c r="AC6" s="57">
        <f>+(1+'KJ-vuosi'!B7)^(1/12)</f>
        <v>1.0033540948994528</v>
      </c>
      <c r="AD6" s="57">
        <f>AC7*AD7</f>
        <v>1.0067194397515002</v>
      </c>
      <c r="AE6" s="57"/>
      <c r="AF6" s="57"/>
      <c r="AG6" s="57"/>
      <c r="AH6" s="57"/>
      <c r="AI6" s="57"/>
    </row>
    <row r="7" spans="1:35">
      <c r="A7" s="57"/>
      <c r="B7" s="57" t="s">
        <v>85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1.003466091602899</v>
      </c>
      <c r="AC7" s="57">
        <f>+(1+'KJ-vuosi'!B8)^(1/12)</f>
        <v>1.0033540948994528</v>
      </c>
      <c r="AD7" s="57">
        <f>AC8</f>
        <v>1.0033540948994528</v>
      </c>
      <c r="AE7" s="57"/>
      <c r="AF7" s="57"/>
      <c r="AG7" s="57"/>
      <c r="AH7" s="57"/>
      <c r="AI7" s="57"/>
    </row>
    <row r="8" spans="1:35">
      <c r="A8" s="57"/>
      <c r="B8" s="57" t="s">
        <v>86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1.003466091602899</v>
      </c>
      <c r="AC8" s="57">
        <f>+(1+'KJ-vuosi'!B9)^(1/12)</f>
        <v>1.0033540948994528</v>
      </c>
      <c r="AD8" s="57">
        <v>1</v>
      </c>
      <c r="AE8" s="57"/>
      <c r="AF8" s="57"/>
      <c r="AG8" s="57"/>
      <c r="AH8" s="57"/>
      <c r="AI8" s="57"/>
    </row>
    <row r="9" spans="1:35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8'!$F$7))/360))</f>
        <v>1</v>
      </c>
      <c r="AC9" s="57">
        <f>+(1+'KJ-vuosi'!B10)^(-1/12)</f>
        <v>0.99693686989174457</v>
      </c>
      <c r="AD9" s="57">
        <v>1</v>
      </c>
      <c r="AE9" s="57"/>
      <c r="AF9" s="57"/>
      <c r="AG9" s="57"/>
      <c r="AH9" s="57"/>
      <c r="AI9" s="57"/>
    </row>
    <row r="10" spans="1:35">
      <c r="A10" s="5" t="s">
        <v>87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8'!$F$7))/360))</f>
        <v>1</v>
      </c>
      <c r="AC10" s="57">
        <f>+(1+'KJ-vuosi'!B11)^(-1/12)</f>
        <v>0.99693686989174457</v>
      </c>
      <c r="AD10" s="57">
        <f>AC9</f>
        <v>0.99693686989174457</v>
      </c>
      <c r="AE10" s="57"/>
      <c r="AF10" s="57"/>
      <c r="AG10" s="57"/>
      <c r="AH10" s="57"/>
      <c r="AI10" s="57"/>
    </row>
    <row r="11" spans="1:35">
      <c r="A11" s="5" t="s">
        <v>88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8'!$F$7))/360))</f>
        <v>1</v>
      </c>
      <c r="AC11" s="57">
        <f>+(1+'KJ-vuosi'!B12)^(-1/12)</f>
        <v>0.99693686989174457</v>
      </c>
      <c r="AD11" s="57">
        <f>AD10*AC10</f>
        <v>0.99388312254954925</v>
      </c>
      <c r="AE11" s="57"/>
      <c r="AF11" s="57"/>
      <c r="AG11" s="57"/>
      <c r="AH11" s="57"/>
      <c r="AI11" s="57"/>
    </row>
    <row r="12" spans="1:35">
      <c r="A12" s="57"/>
      <c r="B12" s="57" t="s">
        <v>89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8'!$F$7))/360))</f>
        <v>1</v>
      </c>
      <c r="AC12" s="57">
        <f>+(1+'KJ-vuosi'!B13)^(-1/12)</f>
        <v>0.99693686989174457</v>
      </c>
      <c r="AD12" s="57">
        <f>AD11*AC11</f>
        <v>0.99083872923278082</v>
      </c>
      <c r="AE12" s="57"/>
      <c r="AF12" s="57"/>
      <c r="AG12" s="57"/>
      <c r="AH12" s="57"/>
      <c r="AI12" s="57"/>
    </row>
    <row r="13" spans="1:35">
      <c r="A13" s="57"/>
      <c r="B13" s="57" t="s">
        <v>90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8'!$F$7))/360))</f>
        <v>1</v>
      </c>
      <c r="AC13" s="57">
        <f>+(1+'KJ-vuosi'!B14)^(-1/12)</f>
        <v>0.99693686989174457</v>
      </c>
      <c r="AD13" s="57">
        <f>AD12*AC12</f>
        <v>0.98780366128884234</v>
      </c>
      <c r="AE13" s="57"/>
      <c r="AF13" s="57"/>
      <c r="AG13" s="57"/>
      <c r="AH13" s="57"/>
      <c r="AI13" s="57"/>
    </row>
    <row r="14" spans="1:35">
      <c r="A14" s="57"/>
      <c r="B14" s="57" t="s">
        <v>144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8'!$F$7))/360))</f>
        <v>1</v>
      </c>
      <c r="AC14" s="57">
        <f>+(1+'KJ-vuosi'!B15)^(-1/12)</f>
        <v>0.99693686989174457</v>
      </c>
      <c r="AD14" s="57">
        <f>AD13*AC13</f>
        <v>0.98477789015290351</v>
      </c>
      <c r="AE14" s="57"/>
      <c r="AF14" s="57"/>
      <c r="AG14" s="57"/>
      <c r="AH14" s="57"/>
      <c r="AI14" s="57"/>
    </row>
    <row r="15" spans="1:35">
      <c r="A15" s="57"/>
      <c r="B15" s="57" t="s">
        <v>92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</row>
    <row r="16" spans="1:35">
      <c r="A16" s="57"/>
      <c r="B16" s="57" t="s">
        <v>93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1:35">
      <c r="A17" s="57"/>
      <c r="B17" s="57" t="s">
        <v>94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</row>
    <row r="18" spans="1:35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</row>
    <row r="19" spans="1:35">
      <c r="A19" s="5" t="s">
        <v>95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</row>
    <row r="20" spans="1:35">
      <c r="A20" s="5" t="s">
        <v>88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76</v>
      </c>
      <c r="AC20" s="57" t="s">
        <v>77</v>
      </c>
      <c r="AD20" s="57" t="s">
        <v>78</v>
      </c>
      <c r="AE20" s="57"/>
      <c r="AF20" s="57"/>
      <c r="AG20" s="57"/>
      <c r="AH20" s="65" t="str">
        <f>LEFT(F5,2)&amp;"."&amp;MID(F5,3,2)&amp;".19"&amp;MID(F5,5,2)</f>
        <v>..19</v>
      </c>
      <c r="AI20" s="57"/>
    </row>
    <row r="21" spans="1:35">
      <c r="A21" s="57"/>
      <c r="B21" s="57" t="s">
        <v>96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79</v>
      </c>
      <c r="AC21" s="57"/>
      <c r="AD21" s="57"/>
      <c r="AE21" s="57"/>
      <c r="AF21" s="57"/>
      <c r="AG21" s="57"/>
      <c r="AH21" s="57"/>
      <c r="AI21" s="57"/>
    </row>
    <row r="22" spans="1:35">
      <c r="A22" s="57"/>
      <c r="B22" s="57" t="s">
        <v>97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98</v>
      </c>
      <c r="AA22" s="57">
        <v>1</v>
      </c>
      <c r="AB22" s="66">
        <f>(1+'KJ-vuosi'!$B$16)^((31-DAY($F$7))/360)</f>
        <v>1.003466091602899</v>
      </c>
      <c r="AC22" s="57">
        <f>+(1+'KJ-vuosi'!B16)^(1/12)</f>
        <v>1.0033540948994528</v>
      </c>
      <c r="AD22" s="57">
        <f>AC23*AD23</f>
        <v>1.0168833519905274</v>
      </c>
      <c r="AE22" s="57"/>
      <c r="AF22" s="57"/>
      <c r="AG22" s="57"/>
      <c r="AH22" s="57"/>
      <c r="AI22" s="57"/>
    </row>
    <row r="23" spans="1:35">
      <c r="A23" s="57"/>
      <c r="B23" s="57" t="s">
        <v>99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1.003466091602899</v>
      </c>
      <c r="AC23" s="57">
        <f>+(1+'KJ-vuosi'!B16)^(1/12)</f>
        <v>1.0033540948994528</v>
      </c>
      <c r="AD23" s="57">
        <f t="shared" ref="AD23:AD26" si="0">AC24*AD24</f>
        <v>1.0134840303735744</v>
      </c>
      <c r="AE23" s="57"/>
      <c r="AF23" s="57"/>
      <c r="AG23" s="57"/>
      <c r="AH23" s="57"/>
      <c r="AI23" s="57"/>
    </row>
    <row r="24" spans="1:35">
      <c r="A24" s="57"/>
      <c r="B24" s="57" t="s">
        <v>100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1.003466091602899</v>
      </c>
      <c r="AC24" s="57">
        <f>+(1+'KJ-vuosi'!B16)^(1/12)</f>
        <v>1.0033540948994528</v>
      </c>
      <c r="AD24" s="57">
        <f t="shared" si="0"/>
        <v>1.0100960722895507</v>
      </c>
      <c r="AE24" s="57"/>
      <c r="AF24" s="57"/>
      <c r="AG24" s="57"/>
      <c r="AH24" s="57"/>
      <c r="AI24" s="57"/>
    </row>
    <row r="25" spans="1:35">
      <c r="A25" s="57"/>
      <c r="B25" s="57" t="s">
        <v>101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1.003466091602899</v>
      </c>
      <c r="AC25" s="57">
        <f>+(1+'KJ-vuosi'!B16)^(1/12)</f>
        <v>1.0033540948994528</v>
      </c>
      <c r="AD25" s="57">
        <f t="shared" si="0"/>
        <v>1.0067194397515002</v>
      </c>
      <c r="AE25" s="57"/>
      <c r="AF25" s="57"/>
      <c r="AG25" s="57"/>
      <c r="AH25" s="57"/>
      <c r="AI25" s="57"/>
    </row>
    <row r="26" spans="1:35">
      <c r="A26" s="57"/>
      <c r="B26" s="57" t="s">
        <v>102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1.003466091602899</v>
      </c>
      <c r="AC26" s="57">
        <f>+(1+'KJ-vuosi'!B16)^(1/12)</f>
        <v>1.0033540948994528</v>
      </c>
      <c r="AD26" s="57">
        <f t="shared" si="0"/>
        <v>1.0033540948994528</v>
      </c>
      <c r="AE26" s="57"/>
      <c r="AF26" s="57"/>
      <c r="AG26" s="57"/>
      <c r="AH26" s="57"/>
      <c r="AI26" s="57"/>
    </row>
    <row r="27" spans="1:3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1.003466091602899</v>
      </c>
      <c r="AC27" s="57">
        <f>+(1+'KJ-vuosi'!B16)^(1/12)</f>
        <v>1.0033540948994528</v>
      </c>
      <c r="AD27" s="57">
        <v>1</v>
      </c>
      <c r="AE27" s="57"/>
      <c r="AF27" s="57"/>
      <c r="AG27" s="57"/>
      <c r="AH27" s="57"/>
      <c r="AI27" s="57"/>
    </row>
    <row r="28" spans="1:35">
      <c r="A28" s="5" t="s">
        <v>103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8'!$F$7))/360))</f>
        <v>1</v>
      </c>
      <c r="AC28" s="57">
        <f>+(1+'KJ-vuosi'!B16)^(-1/12)</f>
        <v>0.99665711744587149</v>
      </c>
      <c r="AD28" s="57">
        <v>1</v>
      </c>
      <c r="AE28" s="57"/>
      <c r="AF28" s="57"/>
      <c r="AG28" s="57"/>
      <c r="AH28" s="57"/>
      <c r="AI28" s="57"/>
    </row>
    <row r="29" spans="1:35">
      <c r="A29" s="57"/>
      <c r="B29" s="57" t="s">
        <v>104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8'!$F$7))/360))</f>
        <v>1</v>
      </c>
      <c r="AC29" s="57">
        <f>+(1+'KJ-vuosi'!B16)^(-1/12)</f>
        <v>0.99665711744587149</v>
      </c>
      <c r="AD29" s="57">
        <f>+AC28</f>
        <v>0.99665711744587149</v>
      </c>
      <c r="AE29" s="57"/>
      <c r="AF29" s="57"/>
      <c r="AG29" s="57"/>
      <c r="AH29" s="57"/>
      <c r="AI29" s="57"/>
    </row>
    <row r="30" spans="1:35">
      <c r="A30" s="57"/>
      <c r="B30" s="57" t="s">
        <v>105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8'!$F$7))/360))</f>
        <v>1</v>
      </c>
      <c r="AC30" s="57">
        <f>+(1+'KJ-vuosi'!B16)^(-1/12)</f>
        <v>0.99665711744587149</v>
      </c>
      <c r="AD30" s="57">
        <f>+AD29*AC29</f>
        <v>0.99332540975551364</v>
      </c>
      <c r="AE30" s="57"/>
      <c r="AF30" s="57"/>
      <c r="AG30" s="57"/>
      <c r="AH30" s="57"/>
      <c r="AI30" s="57"/>
    </row>
    <row r="31" spans="1:35">
      <c r="A31" s="57"/>
      <c r="B31" s="57" t="s">
        <v>106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8'!$F$7))/360))</f>
        <v>1</v>
      </c>
      <c r="AC31" s="57">
        <f>+(1+'KJ-vuosi'!B16)^(-1/12)</f>
        <v>0.99665711744587149</v>
      </c>
      <c r="AD31" s="57">
        <f>+AD30*AC30</f>
        <v>0.99000483957266938</v>
      </c>
      <c r="AE31" s="57"/>
      <c r="AF31" s="57"/>
      <c r="AG31" s="57"/>
      <c r="AH31" s="57"/>
      <c r="AI31" s="57"/>
    </row>
    <row r="32" spans="1:35">
      <c r="A32" s="57"/>
      <c r="B32" s="57" t="s">
        <v>107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8'!$F$7))/360))</f>
        <v>1</v>
      </c>
      <c r="AC32" s="57">
        <f>+(1+'KJ-vuosi'!B16)^(-1/12)</f>
        <v>0.99665711744587149</v>
      </c>
      <c r="AD32" s="57">
        <f>+AD31*AC31</f>
        <v>0.98669536966595905</v>
      </c>
      <c r="AE32" s="57"/>
      <c r="AF32" s="57"/>
      <c r="AG32" s="57"/>
      <c r="AH32" s="57"/>
      <c r="AI32" s="57"/>
    </row>
    <row r="33" spans="1:35">
      <c r="A33" s="57"/>
      <c r="B33" s="57" t="s">
        <v>108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8'!$F$7))/360))</f>
        <v>1</v>
      </c>
      <c r="AC33" s="57">
        <f>+(1+'KJ-vuosi'!B16)^(-1/12)</f>
        <v>0.99665711744587149</v>
      </c>
      <c r="AD33" s="57">
        <f>+AD32*AC32</f>
        <v>0.98339696292846335</v>
      </c>
      <c r="AE33" s="57"/>
      <c r="AF33" s="57"/>
      <c r="AG33" s="57"/>
      <c r="AH33" s="57"/>
      <c r="AI33" s="57"/>
    </row>
    <row r="34" spans="1:35">
      <c r="A34" s="57"/>
      <c r="B34" s="57" t="s">
        <v>109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</row>
    <row r="35" spans="1:3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</row>
    <row r="36" spans="1:35">
      <c r="A36" s="57" t="s">
        <v>110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</row>
    <row r="38" spans="1:35" ht="18">
      <c r="A38" s="1" t="s">
        <v>111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</row>
    <row r="39" spans="1:35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</row>
    <row r="40" spans="1:35">
      <c r="A40" s="57" t="s">
        <v>112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1" spans="1:35">
      <c r="A41" s="57" t="s">
        <v>151</v>
      </c>
      <c r="B41" s="57"/>
      <c r="C41" s="57"/>
      <c r="D41" s="76" t="str">
        <f>+"1.7."&amp;TEXT('KJ-vuosi'!$B$3,0)</f>
        <v>1.7.2024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</row>
    <row r="42" spans="1:35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</row>
    <row r="43" spans="1:35">
      <c r="A43" s="5" t="s">
        <v>113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</row>
    <row r="44" spans="1:35">
      <c r="A44" s="57"/>
      <c r="B44" s="57"/>
      <c r="C44" s="58" t="s">
        <v>114</v>
      </c>
      <c r="D44" s="58" t="s">
        <v>115</v>
      </c>
      <c r="E44" s="58" t="s">
        <v>116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</row>
    <row r="45" spans="1:35">
      <c r="A45" s="57"/>
      <c r="B45" s="57"/>
      <c r="C45" s="58" t="s">
        <v>117</v>
      </c>
      <c r="D45" s="77" t="s">
        <v>118</v>
      </c>
      <c r="E45" s="58" t="s">
        <v>119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</row>
    <row r="46" spans="1:35">
      <c r="A46" s="57"/>
      <c r="B46" s="57"/>
      <c r="C46" s="78"/>
      <c r="D46" s="77" t="s">
        <v>120</v>
      </c>
      <c r="E46" s="58" t="str">
        <f>+D41&amp;")"</f>
        <v>1.7.2024)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spans="1:35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</row>
    <row r="48" spans="1:35">
      <c r="A48" s="5" t="s">
        <v>121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</row>
    <row r="49" spans="1:9">
      <c r="A49" s="57"/>
      <c r="B49" s="57"/>
      <c r="C49" s="58" t="s">
        <v>122</v>
      </c>
      <c r="D49" s="58" t="s">
        <v>122</v>
      </c>
      <c r="E49" s="58" t="s">
        <v>122</v>
      </c>
      <c r="F49" s="58"/>
      <c r="G49" s="58" t="s">
        <v>123</v>
      </c>
      <c r="H49" s="57"/>
      <c r="I49" s="62"/>
    </row>
    <row r="50" spans="1:9">
      <c r="A50" s="5"/>
      <c r="B50" s="57"/>
      <c r="C50" s="79">
        <f>'Virkamies 8'!F$6</f>
        <v>0</v>
      </c>
      <c r="D50" s="79">
        <f>'Virkamies 8'!F$8</f>
        <v>0</v>
      </c>
      <c r="E50" s="76" t="str">
        <f>$D$41</f>
        <v>1.7.2024</v>
      </c>
      <c r="F50" s="79"/>
      <c r="G50" s="58" t="s">
        <v>124</v>
      </c>
      <c r="H50" s="57"/>
      <c r="I50" s="57" t="s">
        <v>125</v>
      </c>
    </row>
    <row r="51" spans="1:9">
      <c r="A51" s="80" t="s">
        <v>126</v>
      </c>
      <c r="B51" s="57"/>
      <c r="C51" s="62">
        <f>C54-C53-C52</f>
        <v>0</v>
      </c>
      <c r="D51" s="62">
        <f>D54-D53-D52</f>
        <v>0</v>
      </c>
      <c r="E51" s="11">
        <f>ROUND(D51*(VLOOKUP(MONTH('Virkamies 8'!$F$7),aika8,4))*(VLOOKUP(MONTH('Virkamies 8'!$F$7),aika8,2)),2)</f>
        <v>0</v>
      </c>
      <c r="F51" s="57"/>
      <c r="G51" s="58" t="s">
        <v>127</v>
      </c>
      <c r="H51" s="57"/>
      <c r="I51" s="57" t="s">
        <v>128</v>
      </c>
    </row>
    <row r="52" spans="1:9">
      <c r="A52" s="80" t="s">
        <v>129</v>
      </c>
      <c r="B52" s="57"/>
      <c r="C52" s="62">
        <f>'Virkamies 8'!$F$12*12*VLOOKUP($D$40,IF(YEAR($F$6)=vuosi,'poa2024'!$F$5:$I$57,IF(YEAR($F$6)=vuosi1,vastuunjako1,vastuunjako2)),3)</f>
        <v>0</v>
      </c>
      <c r="D52" s="62">
        <f>C52*(1+0.031*((IF(DAY('Virkamies 8'!$F$8)=31,DAYS360('Virkamies 8'!$F$6,'Virkamies 8'!$F$8,TRUE)-1,DAYS360('Virkamies 8'!$F$6,'Virkamies 8'!$F$8,TRUE)))/360))</f>
        <v>0</v>
      </c>
      <c r="E52" s="81">
        <f>ROUND(D52*(VLOOKUP(MONTH('Virkamies 8'!$F$7),aika8,4))*(VLOOKUP(MONTH('Virkamies 8'!$F$7),aika8,2)),2)</f>
        <v>0</v>
      </c>
      <c r="F52" s="57"/>
      <c r="G52" s="47">
        <f>E52</f>
        <v>0</v>
      </c>
      <c r="H52" s="57"/>
      <c r="I52" s="57"/>
    </row>
    <row r="53" spans="1:9">
      <c r="A53" s="82" t="s">
        <v>130</v>
      </c>
      <c r="B53" s="83"/>
      <c r="C53" s="84">
        <f>'Virkamies 8'!$F$12*12*VLOOKUP($D$40,IF(YEAR($F$6)=vuosi,'poa2024'!$F$5:$I$57,IF(YEAR($F$6)=vuosi1,vastuunjako1,vastuunjako2)),4)</f>
        <v>0</v>
      </c>
      <c r="D53" s="84">
        <f>C53*(1+0.031*((IF(DAY('Virkamies 8'!$F$8)=31,DAYS360('Virkamies 8'!$F$6,'Virkamies 8'!$F$8,TRUE)-1,DAYS360('Virkamies 8'!$F$6,'Virkamies 8'!$F$8,TRUE)))/360))</f>
        <v>0</v>
      </c>
      <c r="E53" s="85">
        <f>ROUND(D53*(VLOOKUP(MONTH('Virkamies 8'!$F$7),aika8,4))*(VLOOKUP(MONTH('Virkamies 8'!$F$7),aika8,2)),2)</f>
        <v>0</v>
      </c>
      <c r="F53" s="57"/>
      <c r="G53" s="84">
        <f>E53</f>
        <v>0</v>
      </c>
      <c r="H53" s="57"/>
      <c r="I53" s="83"/>
    </row>
    <row r="54" spans="1:9">
      <c r="A54" s="57" t="s">
        <v>131</v>
      </c>
      <c r="B54" s="57"/>
      <c r="C54" s="62">
        <f>'Virkamies 8'!$F$12*12*VLOOKUP($D$40,IF(YEAR($F$6)=vuosi,'poa2024'!$B$5:$C$57,IF(YEAR($F$6)=vuosi1,perusturva1,perusturva2)),2)</f>
        <v>0</v>
      </c>
      <c r="D54" s="62">
        <f>C54*(1+0.031*((IF(DAY('Virkamies 8'!$F$8)=31,DAYS360('Virkamies 8'!$F$6,'Virkamies 8'!$F$8,TRUE)-1,DAYS360('Virkamies 8'!$F$6,'Virkamies 8'!$F$8,TRUE)))/360))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8'!$F$14*12*VLOOKUP($D$40,IF(YEAR($F$6)=vuosi,'poa2024'!B5:C57,IF(YEAR($F$6)=vuosi1,perusturva1,perusturva2)),2))*(1+0.031*((IF(DAY('Virkamies 8'!$F$8)=31,DAYS360('Virkamies 8'!$F$6,'Virkamies 8'!$F$8,TRUE)-1,DAYS360('Virkamies 8'!$F$6,'Virkamies 8'!$F$8,TRUE)))/360))*(VLOOKUP(MONTH('Virkamies 8'!$F$7),aika1,4))*(VLOOKUP(MONTH('Virkamies 8'!$F$7),aika1,2))),2)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132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122</v>
      </c>
      <c r="D57" s="58" t="s">
        <v>122</v>
      </c>
      <c r="E57" s="58" t="s">
        <v>122</v>
      </c>
      <c r="F57" s="57"/>
      <c r="G57" s="57"/>
      <c r="H57" s="57"/>
      <c r="I57" s="57"/>
    </row>
    <row r="58" spans="1:9">
      <c r="A58" s="5"/>
      <c r="B58" s="57"/>
      <c r="C58" s="79">
        <f>'Virkamies 8'!F$6</f>
        <v>0</v>
      </c>
      <c r="D58" s="79">
        <f>'Virkamies 8'!F$8</f>
        <v>0</v>
      </c>
      <c r="E58" s="76" t="str">
        <f>$D$41</f>
        <v>1.7.2024</v>
      </c>
      <c r="F58" s="57"/>
      <c r="G58" s="57"/>
      <c r="H58" s="57"/>
      <c r="I58" s="57"/>
    </row>
    <row r="59" spans="1:9">
      <c r="A59" s="80" t="s">
        <v>126</v>
      </c>
      <c r="B59" s="57"/>
      <c r="C59" s="62">
        <f>C62-C61-C60</f>
        <v>0</v>
      </c>
      <c r="D59" s="62">
        <f>D62-D61-D60</f>
        <v>0</v>
      </c>
      <c r="E59" s="11">
        <f>ROUND(D59*(VLOOKUP(MONTH('Virkamies 8'!$F$7),aika8,4))*(VLOOKUP(MONTH('Virkamies 8'!$F$7),aika8,2)),2)</f>
        <v>0</v>
      </c>
      <c r="F59" s="57"/>
      <c r="G59" s="57"/>
      <c r="H59" s="57"/>
      <c r="I59" s="57"/>
    </row>
    <row r="60" spans="1:9">
      <c r="A60" s="80" t="s">
        <v>129</v>
      </c>
      <c r="B60" s="57"/>
      <c r="C60" s="62">
        <f>'Virkamies 8'!$F$13*12*VLOOKUP($D$40,IF(YEAR($F$6)=vuosi,'poa2024'!$F$5:$I$57,IF(YEAR($F$6)=vuosi1,vastuunjako1,vastuunjako2)),3)</f>
        <v>0</v>
      </c>
      <c r="D60" s="62">
        <f>C60*(1+0.031*((IF(DAY('Virkamies 8'!$F$8)=31,DAYS360('Virkamies 8'!$F$6,'Virkamies 8'!$F$8,TRUE)-1,DAYS360('Virkamies 8'!$F$6,'Virkamies 8'!$F$8,TRUE)))/360))</f>
        <v>0</v>
      </c>
      <c r="E60" s="81">
        <f>ROUND(D60*(VLOOKUP(MONTH('Virkamies 8'!$F$7),aika8,4))*(VLOOKUP(MONTH('Virkamies 8'!$F$7),aika8,2)),2)</f>
        <v>0</v>
      </c>
      <c r="F60" s="57"/>
      <c r="G60" s="57"/>
      <c r="H60" s="57"/>
      <c r="I60" s="57"/>
    </row>
    <row r="61" spans="1:9">
      <c r="A61" s="82" t="s">
        <v>130</v>
      </c>
      <c r="B61" s="83"/>
      <c r="C61" s="84">
        <f>'Virkamies 8'!$F$13*12*VLOOKUP($D$40,IF(YEAR($F$6)=vuosi,'poa2024'!$F$5:$I$57,IF(YEAR($F$6)=vuosi1,vastuunjako1,vastuunjako2)),4)</f>
        <v>0</v>
      </c>
      <c r="D61" s="84">
        <f>C61*(1+0.031*((IF(DAY('Virkamies 8'!$F$8)=31,DAYS360('Virkamies 8'!$F$6,'Virkamies 8'!$F$8,TRUE)-1,DAYS360('Virkamies 8'!$F$6,'Virkamies 8'!$F$8,TRUE)))/360))</f>
        <v>0</v>
      </c>
      <c r="E61" s="85">
        <f>ROUND(D61*(VLOOKUP(MONTH('Virkamies 8'!$F$7),aika8,4))*(VLOOKUP(MONTH('Virkamies 8'!$F$7),aika8,2)),2)</f>
        <v>0</v>
      </c>
      <c r="F61" s="57"/>
      <c r="G61" s="57"/>
      <c r="H61" s="57"/>
      <c r="I61" s="57"/>
    </row>
    <row r="62" spans="1:9">
      <c r="A62" s="57" t="s">
        <v>131</v>
      </c>
      <c r="B62" s="57"/>
      <c r="C62" s="62">
        <f>'Virkamies 8'!$F$13*12*VLOOKUP($D$40,IF(YEAR($F$6)=vuosi,'poa2024'!$B$5:$C$57,IF(YEAR($F$6)=vuosi1,perusturva1,perusturva2)),2)</f>
        <v>0</v>
      </c>
      <c r="D62" s="62">
        <f>C62*(1+0.031*((IF(DAY('Virkamies 8'!$F$8)=31,DAYS360('Virkamies 8'!$F$6,'Virkamies 8'!$F$8,TRUE)-1,DAYS360('Virkamies 8'!$F$6,'Virkamies 8'!$F$8,TRUE)))/360))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133</v>
      </c>
      <c r="B64" s="57"/>
      <c r="C64" s="62"/>
      <c r="D64" s="57"/>
      <c r="E64" s="57"/>
      <c r="F64" s="57"/>
      <c r="G64" s="57"/>
      <c r="H64" s="57"/>
      <c r="I64" s="57"/>
    </row>
    <row r="65" spans="1:13">
      <c r="A65" s="5"/>
      <c r="B65" s="57"/>
      <c r="C65" s="58" t="s">
        <v>122</v>
      </c>
      <c r="D65" s="58" t="s">
        <v>122</v>
      </c>
      <c r="E65" s="58" t="s">
        <v>122</v>
      </c>
      <c r="F65" s="57"/>
      <c r="G65" s="58" t="s">
        <v>123</v>
      </c>
      <c r="H65" s="57"/>
      <c r="I65" s="57"/>
      <c r="J65" s="57"/>
      <c r="K65" s="57"/>
      <c r="L65" s="57"/>
      <c r="M65" s="57"/>
    </row>
    <row r="66" spans="1:13">
      <c r="A66" s="5"/>
      <c r="B66" s="57"/>
      <c r="C66" s="79">
        <f>'Virkamies 8'!F$6</f>
        <v>0</v>
      </c>
      <c r="D66" s="79">
        <f>'Virkamies 8'!F$8</f>
        <v>0</v>
      </c>
      <c r="E66" s="76" t="str">
        <f>$D$41</f>
        <v>1.7.2024</v>
      </c>
      <c r="F66" s="57"/>
      <c r="G66" s="58" t="s">
        <v>134</v>
      </c>
      <c r="H66" s="57"/>
      <c r="I66" s="57"/>
      <c r="J66" s="57"/>
      <c r="K66" s="57"/>
      <c r="L66" s="57"/>
      <c r="M66" s="57"/>
    </row>
    <row r="67" spans="1:13">
      <c r="A67" s="80" t="s">
        <v>126</v>
      </c>
      <c r="B67" s="57"/>
      <c r="C67" s="62">
        <f>C70-C69-C68</f>
        <v>0</v>
      </c>
      <c r="D67" s="62">
        <f>D70-D69-D68</f>
        <v>0</v>
      </c>
      <c r="E67" s="11">
        <f>ROUND(D67*(VLOOKUP(MONTH('Virkamies 8'!$F$7),aikaYEL8,4))*(VLOOKUP(MONTH('Virkamies 8'!$F$7),aikaYEL8,2)),2)</f>
        <v>0</v>
      </c>
      <c r="F67" s="57"/>
      <c r="G67" s="58" t="s">
        <v>135</v>
      </c>
      <c r="H67" s="57"/>
      <c r="I67" s="57"/>
      <c r="J67" s="57"/>
      <c r="K67" s="57"/>
      <c r="L67" s="57"/>
      <c r="M67" s="57"/>
    </row>
    <row r="68" spans="1:13">
      <c r="A68" s="80" t="s">
        <v>129</v>
      </c>
      <c r="B68" s="57"/>
      <c r="C68" s="62">
        <f>'Virkamies 8'!$F$15*12*VLOOKUP($D$40,IF(YEAR($F$6)=vuosi,'poa2024'!$F$5:$I$57,IF(YEAR($F$6)=vuosi1,vastuunjako1,vastuunjako2)),3)</f>
        <v>0</v>
      </c>
      <c r="D68" s="62">
        <f>C68*(1+0.031*((IF(DAY('Virkamies 8'!$F$8)=31,DAYS360('Virkamies 8'!$F$6,'Virkamies 8'!$F$8,TRUE)-1,DAYS360('Virkamies 8'!$F$6,'Virkamies 8'!$F$8,TRUE)))/360))</f>
        <v>0</v>
      </c>
      <c r="E68" s="81">
        <f>ROUND(D68*(VLOOKUP(MONTH('Virkamies 8'!$F$7),aikaYEL8,4))*(VLOOKUP(MONTH('Virkamies 8'!$F$7),aikaYEL8,2)),2)</f>
        <v>0</v>
      </c>
      <c r="F68" s="57"/>
      <c r="G68" s="62">
        <f>E68</f>
        <v>0</v>
      </c>
      <c r="H68" s="57"/>
      <c r="I68" s="57"/>
      <c r="J68" s="57"/>
      <c r="K68" s="57"/>
      <c r="L68" s="57"/>
      <c r="M68" s="57"/>
    </row>
    <row r="69" spans="1:13">
      <c r="A69" s="82" t="s">
        <v>130</v>
      </c>
      <c r="B69" s="83"/>
      <c r="C69" s="84">
        <f>'Virkamies 8'!$F$15*12*VLOOKUP($D$40,IF(YEAR($F$6)=vuosi,'poa2024'!$F$5:$I$57,IF(YEAR($F$6)=vuosi1,vastuunjako1,vastuunjako2)),4)</f>
        <v>0</v>
      </c>
      <c r="D69" s="84">
        <f>C69*(1+0.031*((IF(DAY('Virkamies 8'!$F$8)=31,DAYS360('Virkamies 8'!$F$6,'Virkamies 8'!$F$8,TRUE)-1,DAYS360('Virkamies 8'!$F$6,'Virkamies 8'!$F$8,TRUE)))/360))</f>
        <v>0</v>
      </c>
      <c r="E69" s="85">
        <f>ROUND(D69*(VLOOKUP(MONTH('Virkamies 8'!$F$7),aikaYEL8,4))*(VLOOKUP(MONTH('Virkamies 8'!$F$7),aikaYEL8,2)),2)</f>
        <v>0</v>
      </c>
      <c r="F69" s="57"/>
      <c r="G69" s="84">
        <f>E69</f>
        <v>0</v>
      </c>
      <c r="H69" s="57"/>
      <c r="I69" s="57"/>
      <c r="J69" s="57"/>
      <c r="K69" s="57"/>
      <c r="L69" s="57"/>
      <c r="M69" s="57"/>
    </row>
    <row r="70" spans="1:13">
      <c r="A70" s="57" t="s">
        <v>131</v>
      </c>
      <c r="B70" s="57"/>
      <c r="C70" s="62">
        <f>'Virkamies 8'!$F$15*12*VLOOKUP($D$40,IF(YEAR($F$6)=vuosi,'poa2024'!$B$5:$C$57,IF(YEAR($F$6)=vuosi1,perusturva1,perusturva2)),2)</f>
        <v>0</v>
      </c>
      <c r="D70" s="62">
        <f>C70*(1+0.031*((IF(DAY('Virkamies 8'!$F$8)=31,DAYS360('Virkamies 8'!$F$6,'Virkamies 8'!$F$8,TRUE)-1,DAYS360('Virkamies 8'!$F$6,'Virkamies 8'!$F$8,TRUE)))/360))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  <c r="L70" s="57"/>
      <c r="M70" s="57"/>
    </row>
    <row r="71" spans="1:13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  <c r="L71" s="57"/>
      <c r="M71" s="57"/>
    </row>
    <row r="72" spans="1:13">
      <c r="A72" s="5" t="s">
        <v>136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  <c r="L72" s="57"/>
      <c r="M72" s="57"/>
    </row>
    <row r="73" spans="1:13">
      <c r="A73" s="5"/>
      <c r="B73" s="57"/>
      <c r="C73" s="58" t="s">
        <v>122</v>
      </c>
      <c r="D73" s="58" t="s">
        <v>122</v>
      </c>
      <c r="E73" s="58" t="s">
        <v>122</v>
      </c>
      <c r="F73" s="57"/>
      <c r="G73" s="58"/>
      <c r="H73" s="57"/>
      <c r="I73" s="57"/>
      <c r="J73" s="57"/>
      <c r="K73" s="57"/>
      <c r="L73" s="57"/>
      <c r="M73" s="57"/>
    </row>
    <row r="74" spans="1:13">
      <c r="A74" s="5"/>
      <c r="B74" s="57"/>
      <c r="C74" s="79">
        <f>'Virkamies 8'!F$6</f>
        <v>0</v>
      </c>
      <c r="D74" s="79">
        <f>'Virkamies 8'!F$8</f>
        <v>0</v>
      </c>
      <c r="E74" s="76" t="str">
        <f>$D$41</f>
        <v>1.7.2024</v>
      </c>
      <c r="F74" s="57"/>
      <c r="G74" s="58"/>
      <c r="H74" s="57"/>
      <c r="I74" s="57"/>
      <c r="J74" s="57"/>
      <c r="K74" s="57"/>
      <c r="L74" s="57"/>
      <c r="M74" s="57"/>
    </row>
    <row r="75" spans="1:13">
      <c r="A75" s="80" t="s">
        <v>126</v>
      </c>
      <c r="B75" s="57"/>
      <c r="C75" s="62">
        <f>C78-C77-C76</f>
        <v>0</v>
      </c>
      <c r="D75" s="62">
        <f>D78-D77-D76</f>
        <v>0</v>
      </c>
      <c r="E75" s="11">
        <f>ROUND(D75*(VLOOKUP(MONTH('Virkamies 8'!$F$7),aika8,4))*(VLOOKUP(MONTH('Virkamies 8'!$F$7),aika8,2)),2)</f>
        <v>0</v>
      </c>
      <c r="F75" s="57"/>
      <c r="G75" s="58"/>
      <c r="H75" s="57"/>
      <c r="I75" s="57"/>
      <c r="J75" s="57"/>
      <c r="K75" s="57"/>
      <c r="L75" s="57"/>
      <c r="M75" s="57"/>
    </row>
    <row r="76" spans="1:13">
      <c r="A76" s="80" t="s">
        <v>129</v>
      </c>
      <c r="B76" s="57"/>
      <c r="C76" s="62">
        <f>'Virkamies 8'!$F$16*12*VLOOKUP($D$40,IF(YEAR($F$6)=vuosi,'poa2024'!$F$5:$I$57,IF(YEAR($F$6)=vuosi1,vastuunjako1,vastuunjako2)),3)</f>
        <v>0</v>
      </c>
      <c r="D76" s="62">
        <f>C76*(1+0.031*((IF(DAY('Virkamies 8'!$F$8)=31,DAYS360('Virkamies 8'!$F$6,'Virkamies 8'!$F$8,TRUE)-1,DAYS360('Virkamies 8'!$F$6,'Virkamies 8'!$F$8,TRUE)))/360))</f>
        <v>0</v>
      </c>
      <c r="E76" s="11">
        <f>ROUND(D76*(VLOOKUP(MONTH('Virkamies 8'!$F$7),aika8,4))*(VLOOKUP(MONTH('Virkamies 8'!$F$7),aika8,2)),2)</f>
        <v>0</v>
      </c>
      <c r="F76" s="57"/>
      <c r="G76" s="58"/>
      <c r="H76" s="57"/>
      <c r="I76" s="57"/>
      <c r="J76" s="57"/>
      <c r="K76" s="57"/>
      <c r="L76" s="57"/>
      <c r="M76" s="57"/>
    </row>
    <row r="77" spans="1:13">
      <c r="A77" s="82" t="s">
        <v>130</v>
      </c>
      <c r="B77" s="83"/>
      <c r="C77" s="84">
        <f>'Virkamies 8'!$F$16*12*VLOOKUP($D$40,IF(YEAR($F$6)=vuosi,'poa2024'!$F$5:$I$57,IF(YEAR($F$6)=vuosi1,vastuunjako1,vastuunjako2)),4)</f>
        <v>0</v>
      </c>
      <c r="D77" s="84">
        <f>C77*(1+0.031*((IF(DAY('Virkamies 8'!$F$8)=31,DAYS360('Virkamies 8'!$F$6,'Virkamies 8'!$F$8,TRUE)-1,DAYS360('Virkamies 8'!$F$6,'Virkamies 8'!$F$8,TRUE)))/360))</f>
        <v>0</v>
      </c>
      <c r="E77" s="48">
        <f>ROUND(D77*(VLOOKUP(MONTH('Virkamies 8'!$F$7),aika8,4))*(VLOOKUP(MONTH('Virkamies 8'!$F$7),aika8,2)),2)</f>
        <v>0</v>
      </c>
      <c r="F77" s="57"/>
      <c r="G77" s="58"/>
      <c r="H77" s="57"/>
      <c r="I77" s="57"/>
      <c r="J77" s="57"/>
      <c r="K77" s="57"/>
      <c r="L77" s="57"/>
      <c r="M77" s="57"/>
    </row>
    <row r="78" spans="1:13">
      <c r="A78" s="57" t="s">
        <v>131</v>
      </c>
      <c r="B78" s="57"/>
      <c r="C78" s="62">
        <f>'Virkamies 8'!$F$16*12*VLOOKUP($D$40,IF(YEAR($F$6)=vuosi,'poa2024'!$B$5:$C$57,IF(YEAR($F$6)=vuosi1,perusturva1,perusturva2)),2)</f>
        <v>0</v>
      </c>
      <c r="D78" s="62">
        <f>C78*(1+0.031*((IF(DAY('Virkamies 8'!$F$8)=31,DAYS360('Virkamies 8'!$F$6,'Virkamies 8'!$F$8,TRUE)-1,DAYS360('Virkamies 8'!$F$6,'Virkamies 8'!$F$8,TRUE)))/360))</f>
        <v>0</v>
      </c>
      <c r="E78" s="62">
        <f>SUM(E75:E77)</f>
        <v>0</v>
      </c>
      <c r="F78" s="25"/>
      <c r="G78" s="58"/>
      <c r="H78" s="86" t="s">
        <v>137</v>
      </c>
      <c r="I78" s="57" t="s">
        <v>138</v>
      </c>
      <c r="J78" s="57"/>
      <c r="K78" s="57"/>
      <c r="L78" s="57"/>
      <c r="M78" s="57"/>
    </row>
    <row r="79" spans="1:13">
      <c r="A79" s="57"/>
      <c r="B79" s="57"/>
      <c r="C79" s="62"/>
      <c r="D79" s="62"/>
      <c r="E79" s="62"/>
      <c r="F79" s="57"/>
      <c r="G79" s="58"/>
      <c r="H79" s="58"/>
      <c r="I79" s="57" t="s">
        <v>139</v>
      </c>
      <c r="J79" s="57"/>
      <c r="K79" s="57"/>
      <c r="L79" s="57"/>
      <c r="M79" s="57"/>
    </row>
    <row r="80" spans="1:13">
      <c r="A80" s="5" t="s">
        <v>145</v>
      </c>
      <c r="B80" s="57"/>
      <c r="C80" s="62">
        <f>'Virkamies 8'!$F$21*12*VLOOKUP($D$40,IF(YEAR($F$6)=vuosi,'poa2024'!$B$62:$E$114,IF(YEAR($F$6)=vuosi1,lisäturva1,lisäturva2)),2)+'Virkamies 8'!$F$22*12*VLOOKUP($D$40,IF(YEAR($F$6)=vuosi,'poa2024'!$B$62:$E$114,IF(YEAR($F$6)=vuosi1,lisäturva1,lisäturva2)),IF('Virkamies 8'!$F$23="LL",3,4))</f>
        <v>0</v>
      </c>
      <c r="D80" s="62">
        <f>C80*(1+0.031*((IF(DAY('Virkamies 8'!$F$8)=31,DAYS360('Virkamies 8'!$F$6,'Virkamies 8'!$F$8,TRUE)-1,DAYS360('Virkamies 8'!$F$6,'Virkamies 8'!$F$8,TRUE)))/360))</f>
        <v>0</v>
      </c>
      <c r="E80" s="11">
        <f>ROUND(D80*(VLOOKUP(MONTH('Virkamies 8'!$F$7),aika8,4))*(VLOOKUP(MONTH('Virkamies 8'!$F$7),aika8,2)),2)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  <c r="L80" s="57"/>
      <c r="M80" s="57"/>
    </row>
    <row r="81" spans="1:13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  <c r="L81" s="57"/>
      <c r="M81" s="57"/>
    </row>
    <row r="82" spans="1:13">
      <c r="A82" s="5" t="s">
        <v>146</v>
      </c>
      <c r="B82" s="57"/>
      <c r="C82" s="62">
        <f>'Virkamies 8'!$F$24*12*VLOOKUP($D$40,IF(YEAR($F$6)=vuosi,'poa2024'!$B$62:$E$114,IF(YEAR($F$6)=vuosi1,lisäturva1,lisäturva2)),2)+'Virkamies 8'!$F$25*12*VLOOKUP($D$40,IF(YEAR($F$6)=vuosi,'poa2024'!$B$62:$E$114,IF(YEAR($F$6)=vuosi1,lisäturva1,lisäturva2)),IF('Virkamies 8'!$F$26="LL",3,4))</f>
        <v>0</v>
      </c>
      <c r="D82" s="62">
        <f>C82*(1+0.031*((IF(DAY('Virkamies 8'!$F$8)=31,DAYS360('Virkamies 8'!$F$6,'Virkamies 8'!$F$8,TRUE)-1,DAYS360('Virkamies 8'!$F$6,'Virkamies 8'!$F$8,TRUE)))/360))</f>
        <v>0</v>
      </c>
      <c r="E82" s="11">
        <f>ROUND(D82*(VLOOKUP(MONTH('Virkamies 8'!$F$7),aikaYEL8,4))*(VLOOKUP(MONTH('Virkamies 8'!$F$7),aikaYEL8,2)),2)</f>
        <v>0</v>
      </c>
      <c r="F82" s="57"/>
      <c r="G82" s="86"/>
      <c r="H82" s="57"/>
      <c r="I82" s="57"/>
      <c r="J82" s="57"/>
      <c r="K82" s="57"/>
      <c r="L82" s="57"/>
      <c r="M82" s="57"/>
    </row>
    <row r="83" spans="1:13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  <c r="L83" s="57"/>
      <c r="M83" s="57"/>
    </row>
    <row r="84" spans="1:13">
      <c r="A84" s="5" t="s">
        <v>142</v>
      </c>
      <c r="B84" s="57"/>
      <c r="C84" s="62">
        <f>'Virkamies 8'!$F$17*12*VLOOKUP($D$40,IF(YEAR($F$6)=vuosi,'poa2024'!$B$5:$C$57,IF(YEAR($F$6)=vuosi1,perusturva1,perusturva2)),2)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8'!$F$7),aika8,4))*(VLOOKUP(MONTH('Virkamies 8'!$F$7),aika8,2)),2)</f>
        <v>0</v>
      </c>
      <c r="F84" s="25"/>
      <c r="G84" s="62"/>
      <c r="H84" s="57"/>
      <c r="I84" s="62"/>
      <c r="J84" s="57"/>
      <c r="K84" s="57"/>
      <c r="L84" s="57"/>
      <c r="M84" s="57"/>
    </row>
    <row r="85" spans="1:13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  <c r="L85" s="57"/>
      <c r="M85" s="57"/>
    </row>
    <row r="86" spans="1:13">
      <c r="A86" s="5" t="s">
        <v>131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  <c r="L86" s="57"/>
      <c r="M86" s="57"/>
    </row>
    <row r="87" spans="1:13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14"/>
  <dimension ref="A1:AH93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1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143</v>
      </c>
      <c r="AC1" s="58" t="s">
        <v>77</v>
      </c>
      <c r="AD1" s="57" t="s">
        <v>78</v>
      </c>
      <c r="AE1" s="57"/>
      <c r="AF1" s="57"/>
      <c r="AG1" s="57"/>
      <c r="AH1" s="8" t="str">
        <f>LEFT(F5,2)&amp;"."&amp;MID(F5,3,2)&amp;".19"&amp;MID(F5,5,2)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>
      <c r="A3" s="5" t="s">
        <v>80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1.003466091602899</v>
      </c>
      <c r="AC3" s="57">
        <f>+(1+'KJ-vuosi'!B4)^(1/12)</f>
        <v>1.0033540948994528</v>
      </c>
      <c r="AD3" s="57">
        <f>AC4*AD4</f>
        <v>1.0168833519905274</v>
      </c>
      <c r="AE3" s="57"/>
      <c r="AF3" s="57"/>
      <c r="AG3" s="57"/>
      <c r="AH3" s="57"/>
    </row>
    <row r="4" spans="1:34">
      <c r="A4" s="5"/>
      <c r="B4" s="57" t="s">
        <v>82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1.003466091602899</v>
      </c>
      <c r="AC4" s="57">
        <f>+(1+'KJ-vuosi'!B5)^(1/12)</f>
        <v>1.0033540948994528</v>
      </c>
      <c r="AD4" s="57">
        <f>AC5*AD5</f>
        <v>1.0134840303735744</v>
      </c>
      <c r="AE4" s="57"/>
      <c r="AF4" s="57"/>
      <c r="AG4" s="57"/>
      <c r="AH4" s="57"/>
    </row>
    <row r="5" spans="1:34">
      <c r="A5" s="57"/>
      <c r="B5" s="57" t="s">
        <v>83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1.003466091602899</v>
      </c>
      <c r="AC5" s="57">
        <f>+(1+'KJ-vuosi'!B6)^(1/12)</f>
        <v>1.0033540948994528</v>
      </c>
      <c r="AD5" s="57">
        <f>AC6*AD6</f>
        <v>1.0100960722895507</v>
      </c>
      <c r="AE5" s="57"/>
      <c r="AF5" s="57"/>
      <c r="AG5" s="57"/>
      <c r="AH5" s="57"/>
    </row>
    <row r="6" spans="1:34">
      <c r="A6" s="57"/>
      <c r="B6" s="57" t="s">
        <v>84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1.003466091602899</v>
      </c>
      <c r="AC6" s="57">
        <f>+(1+'KJ-vuosi'!B7)^(1/12)</f>
        <v>1.0033540948994528</v>
      </c>
      <c r="AD6" s="57">
        <f>AC7*AD7</f>
        <v>1.0067194397515002</v>
      </c>
      <c r="AE6" s="57"/>
      <c r="AF6" s="57"/>
      <c r="AG6" s="57"/>
      <c r="AH6" s="57"/>
    </row>
    <row r="7" spans="1:34">
      <c r="A7" s="57"/>
      <c r="B7" s="57" t="s">
        <v>85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1.003466091602899</v>
      </c>
      <c r="AC7" s="57">
        <f>+(1+'KJ-vuosi'!B8)^(1/12)</f>
        <v>1.0033540948994528</v>
      </c>
      <c r="AD7" s="57">
        <f>AC8</f>
        <v>1.0033540948994528</v>
      </c>
      <c r="AE7" s="57"/>
      <c r="AF7" s="57"/>
      <c r="AG7" s="57"/>
      <c r="AH7" s="57"/>
    </row>
    <row r="8" spans="1:34">
      <c r="A8" s="57"/>
      <c r="B8" s="57" t="s">
        <v>86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1.003466091602899</v>
      </c>
      <c r="AC8" s="57">
        <f>+(1+'KJ-vuosi'!B9)^(1/12)</f>
        <v>1.0033540948994528</v>
      </c>
      <c r="AD8" s="57">
        <v>1</v>
      </c>
      <c r="AE8" s="57"/>
      <c r="AF8" s="57"/>
      <c r="AG8" s="57"/>
      <c r="AH8" s="57"/>
    </row>
    <row r="9" spans="1:34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9'!$F$7))/360))</f>
        <v>1</v>
      </c>
      <c r="AC9" s="57">
        <f>+(1+'KJ-vuosi'!B10)^(-1/12)</f>
        <v>0.99693686989174457</v>
      </c>
      <c r="AD9" s="57">
        <v>1</v>
      </c>
      <c r="AE9" s="57"/>
      <c r="AF9" s="57"/>
      <c r="AG9" s="57"/>
      <c r="AH9" s="57"/>
    </row>
    <row r="10" spans="1:34">
      <c r="A10" s="5" t="s">
        <v>87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9'!$F$7))/360))</f>
        <v>1</v>
      </c>
      <c r="AC10" s="57">
        <f>+(1+'KJ-vuosi'!B11)^(-1/12)</f>
        <v>0.99693686989174457</v>
      </c>
      <c r="AD10" s="57">
        <f>AC9</f>
        <v>0.99693686989174457</v>
      </c>
      <c r="AE10" s="57"/>
      <c r="AF10" s="57"/>
      <c r="AG10" s="57"/>
      <c r="AH10" s="57"/>
    </row>
    <row r="11" spans="1:34">
      <c r="A11" s="5" t="s">
        <v>88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9'!$F$7))/360))</f>
        <v>1</v>
      </c>
      <c r="AC11" s="57">
        <f>+(1+'KJ-vuosi'!B12)^(-1/12)</f>
        <v>0.99693686989174457</v>
      </c>
      <c r="AD11" s="57">
        <f>AD10*AC10</f>
        <v>0.99388312254954925</v>
      </c>
      <c r="AE11" s="57"/>
      <c r="AF11" s="57"/>
      <c r="AG11" s="57"/>
      <c r="AH11" s="57"/>
    </row>
    <row r="12" spans="1:34">
      <c r="A12" s="57"/>
      <c r="B12" s="57" t="s">
        <v>89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9'!$F$7))/360))</f>
        <v>1</v>
      </c>
      <c r="AC12" s="57">
        <f>+(1+'KJ-vuosi'!B13)^(-1/12)</f>
        <v>0.99693686989174457</v>
      </c>
      <c r="AD12" s="57">
        <f>AD11*AC11</f>
        <v>0.99083872923278082</v>
      </c>
      <c r="AE12" s="57"/>
      <c r="AF12" s="57"/>
      <c r="AG12" s="57"/>
      <c r="AH12" s="57"/>
    </row>
    <row r="13" spans="1:34">
      <c r="A13" s="57"/>
      <c r="B13" s="57" t="s">
        <v>90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9'!$F$7))/360))</f>
        <v>1</v>
      </c>
      <c r="AC13" s="57">
        <f>+(1+'KJ-vuosi'!B14)^(-1/12)</f>
        <v>0.99693686989174457</v>
      </c>
      <c r="AD13" s="57">
        <f>AD12*AC12</f>
        <v>0.98780366128884234</v>
      </c>
      <c r="AE13" s="57"/>
      <c r="AF13" s="57"/>
      <c r="AG13" s="57"/>
      <c r="AH13" s="57"/>
    </row>
    <row r="14" spans="1:34">
      <c r="A14" s="57"/>
      <c r="B14" s="57" t="s">
        <v>144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9'!$F$7))/360))</f>
        <v>1</v>
      </c>
      <c r="AC14" s="57">
        <f>+(1+'KJ-vuosi'!B15)^(-1/12)</f>
        <v>0.99693686989174457</v>
      </c>
      <c r="AD14" s="57">
        <f>AD13*AC13</f>
        <v>0.98477789015290351</v>
      </c>
      <c r="AE14" s="57"/>
      <c r="AF14" s="57"/>
      <c r="AG14" s="57"/>
      <c r="AH14" s="57"/>
    </row>
    <row r="15" spans="1:34">
      <c r="A15" s="57"/>
      <c r="B15" s="57" t="s">
        <v>92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93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94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95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88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76</v>
      </c>
      <c r="AC20" s="57" t="s">
        <v>77</v>
      </c>
      <c r="AD20" s="57" t="s">
        <v>78</v>
      </c>
      <c r="AE20" s="57"/>
      <c r="AF20" s="57"/>
      <c r="AG20" s="57"/>
      <c r="AH20" s="8" t="str">
        <f>LEFT(F5,2)&amp;"."&amp;MID(F5,3,2)&amp;".19"&amp;MID(F5,5,2)</f>
        <v>..19</v>
      </c>
    </row>
    <row r="21" spans="1:34">
      <c r="A21" s="57"/>
      <c r="B21" s="57" t="s">
        <v>96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79</v>
      </c>
      <c r="AC21" s="57"/>
      <c r="AD21" s="57"/>
      <c r="AE21" s="57"/>
      <c r="AF21" s="57"/>
      <c r="AG21" s="57"/>
      <c r="AH21" s="57"/>
    </row>
    <row r="22" spans="1:34">
      <c r="A22" s="57"/>
      <c r="B22" s="57" t="s">
        <v>97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98</v>
      </c>
      <c r="AA22" s="57">
        <v>1</v>
      </c>
      <c r="AB22" s="66">
        <f>(1+'KJ-vuosi'!$B$16)^((31-DAY($F$7))/360)</f>
        <v>1.003466091602899</v>
      </c>
      <c r="AC22" s="57">
        <f>+(1+'KJ-vuosi'!B16)^(1/12)</f>
        <v>1.0033540948994528</v>
      </c>
      <c r="AD22" s="57">
        <f>AC23*AD23</f>
        <v>1.0168833519905274</v>
      </c>
      <c r="AE22" s="57"/>
      <c r="AF22" s="57"/>
      <c r="AG22" s="57"/>
      <c r="AH22" s="57"/>
    </row>
    <row r="23" spans="1:34">
      <c r="A23" s="57"/>
      <c r="B23" s="57" t="s">
        <v>99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1.003466091602899</v>
      </c>
      <c r="AC23" s="57">
        <f>+(1+'KJ-vuosi'!B16)^(1/12)</f>
        <v>1.0033540948994528</v>
      </c>
      <c r="AD23" s="57">
        <f t="shared" ref="AD23:AD26" si="0">AC24*AD24</f>
        <v>1.0134840303735744</v>
      </c>
      <c r="AE23" s="57"/>
      <c r="AF23" s="57"/>
      <c r="AG23" s="57"/>
      <c r="AH23" s="57"/>
    </row>
    <row r="24" spans="1:34">
      <c r="A24" s="57"/>
      <c r="B24" s="57" t="s">
        <v>100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1.003466091602899</v>
      </c>
      <c r="AC24" s="57">
        <f>+(1+'KJ-vuosi'!B16)^(1/12)</f>
        <v>1.0033540948994528</v>
      </c>
      <c r="AD24" s="57">
        <f t="shared" si="0"/>
        <v>1.0100960722895507</v>
      </c>
      <c r="AE24" s="57"/>
      <c r="AF24" s="57"/>
      <c r="AG24" s="57"/>
      <c r="AH24" s="57"/>
    </row>
    <row r="25" spans="1:34">
      <c r="A25" s="57"/>
      <c r="B25" s="57" t="s">
        <v>101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1.003466091602899</v>
      </c>
      <c r="AC25" s="57">
        <f>+(1+'KJ-vuosi'!B16)^(1/12)</f>
        <v>1.0033540948994528</v>
      </c>
      <c r="AD25" s="57">
        <f t="shared" si="0"/>
        <v>1.0067194397515002</v>
      </c>
      <c r="AE25" s="57"/>
      <c r="AF25" s="57"/>
      <c r="AG25" s="57"/>
      <c r="AH25" s="57"/>
    </row>
    <row r="26" spans="1:34">
      <c r="A26" s="57"/>
      <c r="B26" s="57" t="s">
        <v>102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1.003466091602899</v>
      </c>
      <c r="AC26" s="57">
        <f>+(1+'KJ-vuosi'!B16)^(1/12)</f>
        <v>1.0033540948994528</v>
      </c>
      <c r="AD26" s="57">
        <f t="shared" si="0"/>
        <v>1.0033540948994528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1.003466091602899</v>
      </c>
      <c r="AC27" s="57">
        <f>+(1+'KJ-vuosi'!B16)^(1/12)</f>
        <v>1.0033540948994528</v>
      </c>
      <c r="AD27" s="57">
        <v>1</v>
      </c>
      <c r="AE27" s="57"/>
      <c r="AF27" s="57"/>
      <c r="AG27" s="57"/>
      <c r="AH27" s="57"/>
    </row>
    <row r="28" spans="1:34">
      <c r="A28" s="5" t="s">
        <v>103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9'!$F$7))/360))</f>
        <v>1</v>
      </c>
      <c r="AC28" s="57">
        <f>+(1+'KJ-vuosi'!B16)^(-1/12)</f>
        <v>0.99665711744587149</v>
      </c>
      <c r="AD28" s="57">
        <v>1</v>
      </c>
      <c r="AE28" s="57"/>
      <c r="AF28" s="57"/>
      <c r="AG28" s="57"/>
      <c r="AH28" s="57"/>
    </row>
    <row r="29" spans="1:34">
      <c r="A29" s="57"/>
      <c r="B29" s="57" t="s">
        <v>104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9'!$F$7))/360))</f>
        <v>1</v>
      </c>
      <c r="AC29" s="57">
        <f>+(1+'KJ-vuosi'!B16)^(-1/12)</f>
        <v>0.99665711744587149</v>
      </c>
      <c r="AD29" s="57">
        <f>+AC28</f>
        <v>0.99665711744587149</v>
      </c>
      <c r="AE29" s="57"/>
      <c r="AF29" s="57"/>
      <c r="AG29" s="57"/>
      <c r="AH29" s="57"/>
    </row>
    <row r="30" spans="1:34">
      <c r="A30" s="57"/>
      <c r="B30" s="57" t="s">
        <v>105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9'!$F$7))/360))</f>
        <v>1</v>
      </c>
      <c r="AC30" s="57">
        <f>+(1+'KJ-vuosi'!B16)^(-1/12)</f>
        <v>0.99665711744587149</v>
      </c>
      <c r="AD30" s="57">
        <f>+AD29*AC29</f>
        <v>0.99332540975551364</v>
      </c>
      <c r="AE30" s="57"/>
      <c r="AF30" s="57"/>
      <c r="AG30" s="57"/>
      <c r="AH30" s="57"/>
    </row>
    <row r="31" spans="1:34">
      <c r="A31" s="57"/>
      <c r="B31" s="57" t="s">
        <v>106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9'!$F$7))/360))</f>
        <v>1</v>
      </c>
      <c r="AC31" s="57">
        <f>+(1+'KJ-vuosi'!B16)^(-1/12)</f>
        <v>0.99665711744587149</v>
      </c>
      <c r="AD31" s="57">
        <f>+AD30*AC30</f>
        <v>0.99000483957266938</v>
      </c>
      <c r="AE31" s="57"/>
      <c r="AF31" s="57"/>
      <c r="AG31" s="57"/>
      <c r="AH31" s="57"/>
    </row>
    <row r="32" spans="1:34">
      <c r="A32" s="57"/>
      <c r="B32" s="57" t="s">
        <v>107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9'!$F$7))/360))</f>
        <v>1</v>
      </c>
      <c r="AC32" s="57">
        <f>+(1+'KJ-vuosi'!B16)^(-1/12)</f>
        <v>0.99665711744587149</v>
      </c>
      <c r="AD32" s="57">
        <f>+AD31*AC31</f>
        <v>0.98669536966595905</v>
      </c>
      <c r="AE32" s="57"/>
      <c r="AF32" s="57"/>
      <c r="AG32" s="57"/>
      <c r="AH32" s="57"/>
    </row>
    <row r="33" spans="1:33">
      <c r="A33" s="57"/>
      <c r="B33" s="57" t="s">
        <v>108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9'!$F$7))/360))</f>
        <v>1</v>
      </c>
      <c r="AC33" s="57">
        <f>+(1+'KJ-vuosi'!B16)^(-1/12)</f>
        <v>0.99665711744587149</v>
      </c>
      <c r="AD33" s="57">
        <f>+AD32*AC32</f>
        <v>0.98339696292846335</v>
      </c>
      <c r="AE33" s="57"/>
      <c r="AF33" s="57"/>
      <c r="AG33" s="57"/>
    </row>
    <row r="34" spans="1:33">
      <c r="A34" s="57"/>
      <c r="B34" s="57" t="s">
        <v>109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>
      <c r="A36" s="57" t="s">
        <v>110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ht="18">
      <c r="A38" s="1" t="s">
        <v>111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>
      <c r="A40" s="57" t="s">
        <v>112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:33">
      <c r="A41" s="57" t="s">
        <v>151</v>
      </c>
      <c r="B41" s="57"/>
      <c r="C41" s="57"/>
      <c r="D41" s="76" t="str">
        <f>+"1.7."&amp;TEXT('KJ-vuosi'!$B$3,0)</f>
        <v>1.7.2024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>
      <c r="A43" s="5" t="s">
        <v>113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>
      <c r="A44" s="57"/>
      <c r="B44" s="57"/>
      <c r="C44" s="58" t="s">
        <v>114</v>
      </c>
      <c r="D44" s="58" t="s">
        <v>115</v>
      </c>
      <c r="E44" s="58" t="s">
        <v>116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>
      <c r="A45" s="57"/>
      <c r="B45" s="57"/>
      <c r="C45" s="58" t="s">
        <v>117</v>
      </c>
      <c r="D45" s="77" t="s">
        <v>118</v>
      </c>
      <c r="E45" s="58" t="s">
        <v>119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>
      <c r="A46" s="57"/>
      <c r="B46" s="57"/>
      <c r="C46" s="78"/>
      <c r="D46" s="77" t="s">
        <v>120</v>
      </c>
      <c r="E46" s="58" t="str">
        <f>+D41&amp;")"</f>
        <v>1.7.2024)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>
      <c r="A48" s="5" t="s">
        <v>121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9">
      <c r="A49" s="57"/>
      <c r="B49" s="57"/>
      <c r="C49" s="58" t="s">
        <v>122</v>
      </c>
      <c r="D49" s="58" t="s">
        <v>122</v>
      </c>
      <c r="E49" s="58" t="s">
        <v>122</v>
      </c>
      <c r="F49" s="58"/>
      <c r="G49" s="58" t="s">
        <v>123</v>
      </c>
      <c r="H49" s="57"/>
      <c r="I49" s="62"/>
    </row>
    <row r="50" spans="1:9">
      <c r="A50" s="5"/>
      <c r="B50" s="57"/>
      <c r="C50" s="79">
        <f>'Virkamies 9'!F$6</f>
        <v>0</v>
      </c>
      <c r="D50" s="79">
        <f>'Virkamies 9'!F$8</f>
        <v>0</v>
      </c>
      <c r="E50" s="76" t="str">
        <f>$D$41</f>
        <v>1.7.2024</v>
      </c>
      <c r="F50" s="79"/>
      <c r="G50" s="58" t="s">
        <v>124</v>
      </c>
      <c r="H50" s="57"/>
      <c r="I50" s="57" t="s">
        <v>125</v>
      </c>
    </row>
    <row r="51" spans="1:9">
      <c r="A51" s="80" t="s">
        <v>126</v>
      </c>
      <c r="B51" s="57"/>
      <c r="C51" s="62">
        <f>C54-C53-C52</f>
        <v>0</v>
      </c>
      <c r="D51" s="62">
        <f>D54-D53-D52</f>
        <v>0</v>
      </c>
      <c r="E51" s="11">
        <f>ROUND(D51*(VLOOKUP(MONTH('Virkamies 9'!$F$7),aika9,4))*(VLOOKUP(MONTH('Virkamies 9'!$F$7),aika9,2)),2)</f>
        <v>0</v>
      </c>
      <c r="F51" s="57"/>
      <c r="G51" s="58" t="s">
        <v>127</v>
      </c>
      <c r="H51" s="57"/>
      <c r="I51" s="57" t="s">
        <v>128</v>
      </c>
    </row>
    <row r="52" spans="1:9">
      <c r="A52" s="80" t="s">
        <v>129</v>
      </c>
      <c r="B52" s="57"/>
      <c r="C52" s="62">
        <f>'Virkamies 9'!$F$12*12*VLOOKUP($D$40,IF(YEAR($F$6)=vuosi,'poa2024'!$F$5:$I$57,IF(YEAR($F$6)=vuosi1,vastuunjako1,vastuunjako2)),3)</f>
        <v>0</v>
      </c>
      <c r="D52" s="62">
        <f>C52*(1+0.031*((IF(DAY('Virkamies 9'!$F$8)=31,DAYS360('Virkamies 9'!$F$6,'Virkamies 9'!$F$8,TRUE)-1,DAYS360('Virkamies 9'!$F$6,'Virkamies 9'!$F$8,TRUE)))/360))</f>
        <v>0</v>
      </c>
      <c r="E52" s="81">
        <f>ROUND(D52*(VLOOKUP(MONTH('Virkamies 9'!$F$7),aika9,4))*(VLOOKUP(MONTH('Virkamies 9'!$F$7),aika9,2)),2)</f>
        <v>0</v>
      </c>
      <c r="F52" s="57"/>
      <c r="G52" s="47">
        <f>E52</f>
        <v>0</v>
      </c>
      <c r="H52" s="57"/>
      <c r="I52" s="57"/>
    </row>
    <row r="53" spans="1:9">
      <c r="A53" s="82" t="s">
        <v>130</v>
      </c>
      <c r="B53" s="83"/>
      <c r="C53" s="84">
        <f>'Virkamies 9'!$F$12*12*VLOOKUP($D$40,IF(YEAR($F$6)=vuosi,'poa2024'!$F$5:$I$57,IF(YEAR($F$6)=vuosi1,vastuunjako1,vastuunjako2)),4)</f>
        <v>0</v>
      </c>
      <c r="D53" s="84">
        <f>C53*(1+0.031*((IF(DAY('Virkamies 9'!$F$8)=31,DAYS360('Virkamies 9'!$F$6,'Virkamies 9'!$F$8,TRUE)-1,DAYS360('Virkamies 9'!$F$6,'Virkamies 9'!$F$8,TRUE)))/360))</f>
        <v>0</v>
      </c>
      <c r="E53" s="85">
        <f>ROUND(D53*(VLOOKUP(MONTH('Virkamies 9'!$F$7),aika9,4))*(VLOOKUP(MONTH('Virkamies 9'!$F$7),aika9,2)),2)</f>
        <v>0</v>
      </c>
      <c r="F53" s="57"/>
      <c r="G53" s="84">
        <f>E53</f>
        <v>0</v>
      </c>
      <c r="H53" s="57"/>
      <c r="I53" s="83"/>
    </row>
    <row r="54" spans="1:9">
      <c r="A54" s="57" t="s">
        <v>131</v>
      </c>
      <c r="B54" s="57"/>
      <c r="C54" s="62">
        <f>'Virkamies 9'!$F$12*12*VLOOKUP($D$40,IF(YEAR($F$6)=vuosi,'poa2024'!$B$5:$C$57,IF(YEAR($F$6)=vuosi1,perusturva1,perusturva2)),2)</f>
        <v>0</v>
      </c>
      <c r="D54" s="62">
        <f>C54*(1+0.031*((IF(DAY('Virkamies 9'!$F$8)=31,DAYS360('Virkamies 9'!$F$6,'Virkamies 9'!$F$8,TRUE)-1,DAYS360('Virkamies 9'!$F$6,'Virkamies 9'!$F$8,TRUE)))/360))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9'!$F$14*12*VLOOKUP($D$40,IF(YEAR($F$6)=vuosi,'poa2024'!B5:C57,IF(YEAR($F$6)=vuosi1,perusturva1,perusturva2)),2))*(1+0.031*((IF(DAY('Virkamies 9'!$F$8)=31,DAYS360('Virkamies 9'!$F$6,'Virkamies 9'!$F$8,TRUE)-1,DAYS360('Virkamies 9'!$F$6,'Virkamies 9'!$F$8,TRUE)))/360))*(VLOOKUP(MONTH('Virkamies 9'!$F$7),aika1,4))*(VLOOKUP(MONTH('Virkamies 9'!$F$7),aika1,2))),2)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132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122</v>
      </c>
      <c r="D57" s="58" t="s">
        <v>122</v>
      </c>
      <c r="E57" s="58" t="s">
        <v>122</v>
      </c>
      <c r="F57" s="57"/>
      <c r="G57" s="57"/>
      <c r="H57" s="57"/>
      <c r="I57" s="57"/>
    </row>
    <row r="58" spans="1:9">
      <c r="A58" s="5"/>
      <c r="B58" s="57"/>
      <c r="C58" s="79">
        <f>'Virkamies 9'!F$6</f>
        <v>0</v>
      </c>
      <c r="D58" s="79">
        <f>'Virkamies 9'!F$8</f>
        <v>0</v>
      </c>
      <c r="E58" s="76" t="str">
        <f>$D$41</f>
        <v>1.7.2024</v>
      </c>
      <c r="F58" s="57"/>
      <c r="G58" s="57"/>
      <c r="H58" s="57"/>
      <c r="I58" s="57"/>
    </row>
    <row r="59" spans="1:9">
      <c r="A59" s="80" t="s">
        <v>126</v>
      </c>
      <c r="B59" s="57"/>
      <c r="C59" s="62">
        <f>C62-C61-C60</f>
        <v>0</v>
      </c>
      <c r="D59" s="62">
        <f>D62-D61-D60</f>
        <v>0</v>
      </c>
      <c r="E59" s="11">
        <f>ROUND(D59*(VLOOKUP(MONTH('Virkamies 9'!$F$7),aika9,4))*(VLOOKUP(MONTH('Virkamies 9'!$F$7),aika9,2)),2)</f>
        <v>0</v>
      </c>
      <c r="F59" s="57"/>
      <c r="G59" s="57"/>
      <c r="H59" s="57"/>
      <c r="I59" s="57"/>
    </row>
    <row r="60" spans="1:9">
      <c r="A60" s="80" t="s">
        <v>129</v>
      </c>
      <c r="B60" s="57"/>
      <c r="C60" s="62">
        <f>'Virkamies 9'!$F$13*12*VLOOKUP($D$40,IF(YEAR($F$6)=vuosi,'poa2024'!$F$5:$I$57,IF(YEAR($F$6)=vuosi1,vastuunjako1,vastuunjako2)),3)</f>
        <v>0</v>
      </c>
      <c r="D60" s="62">
        <f>C60*(1+0.031*((IF(DAY('Virkamies 9'!$F$8)=31,DAYS360('Virkamies 9'!$F$6,'Virkamies 9'!$F$8,TRUE)-1,DAYS360('Virkamies 9'!$F$6,'Virkamies 9'!$F$8,TRUE)))/360))</f>
        <v>0</v>
      </c>
      <c r="E60" s="81">
        <f>ROUND(D60*(VLOOKUP(MONTH('Virkamies 9'!$F$7),aika9,4))*(VLOOKUP(MONTH('Virkamies 9'!$F$7),aika9,2)),2)</f>
        <v>0</v>
      </c>
      <c r="F60" s="57"/>
      <c r="G60" s="57"/>
      <c r="H60" s="57"/>
      <c r="I60" s="57"/>
    </row>
    <row r="61" spans="1:9">
      <c r="A61" s="82" t="s">
        <v>130</v>
      </c>
      <c r="B61" s="83"/>
      <c r="C61" s="84">
        <f>'Virkamies 9'!$F$13*12*VLOOKUP($D$40,IF(YEAR($F$6)=vuosi,'poa2024'!$F$5:$I$57,IF(YEAR($F$6)=vuosi1,vastuunjako1,vastuunjako2)),4)</f>
        <v>0</v>
      </c>
      <c r="D61" s="84">
        <f>C61*(1+0.031*((IF(DAY('Virkamies 9'!$F$8)=31,DAYS360('Virkamies 9'!$F$6,'Virkamies 9'!$F$8,TRUE)-1,DAYS360('Virkamies 9'!$F$6,'Virkamies 9'!$F$8,TRUE)))/360))</f>
        <v>0</v>
      </c>
      <c r="E61" s="85">
        <f>ROUND(D61*(VLOOKUP(MONTH('Virkamies 9'!$F$7),aika9,4))*(VLOOKUP(MONTH('Virkamies 9'!$F$7),aika9,2)),2)</f>
        <v>0</v>
      </c>
      <c r="F61" s="57"/>
      <c r="G61" s="57"/>
      <c r="H61" s="57"/>
      <c r="I61" s="57"/>
    </row>
    <row r="62" spans="1:9">
      <c r="A62" s="57" t="s">
        <v>131</v>
      </c>
      <c r="B62" s="57"/>
      <c r="C62" s="62">
        <f>'Virkamies 9'!$F$13*12*VLOOKUP($D$40,IF(YEAR($F$6)=vuosi,'poa2024'!$B$5:$C$57,IF(YEAR($F$6)=vuosi1,perusturva1,perusturva2)),2)</f>
        <v>0</v>
      </c>
      <c r="D62" s="62">
        <f>C62*(1+0.031*((IF(DAY('Virkamies 9'!$F$8)=31,DAYS360('Virkamies 9'!$F$6,'Virkamies 9'!$F$8,TRUE)-1,DAYS360('Virkamies 9'!$F$6,'Virkamies 9'!$F$8,TRUE)))/360))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133</v>
      </c>
      <c r="B64" s="57"/>
      <c r="C64" s="62"/>
      <c r="D64" s="57"/>
      <c r="E64" s="57"/>
      <c r="F64" s="57"/>
      <c r="G64" s="57"/>
      <c r="H64" s="57"/>
      <c r="I64" s="57"/>
    </row>
    <row r="65" spans="1:11">
      <c r="A65" s="5"/>
      <c r="B65" s="57"/>
      <c r="C65" s="58" t="s">
        <v>122</v>
      </c>
      <c r="D65" s="58" t="s">
        <v>122</v>
      </c>
      <c r="E65" s="58" t="s">
        <v>122</v>
      </c>
      <c r="F65" s="57"/>
      <c r="G65" s="58" t="s">
        <v>123</v>
      </c>
      <c r="H65" s="57"/>
      <c r="I65" s="57"/>
      <c r="J65" s="57"/>
      <c r="K65" s="57"/>
    </row>
    <row r="66" spans="1:11">
      <c r="A66" s="5"/>
      <c r="B66" s="57"/>
      <c r="C66" s="79">
        <f>'Virkamies 9'!F$6</f>
        <v>0</v>
      </c>
      <c r="D66" s="79">
        <f>'Virkamies 9'!F$8</f>
        <v>0</v>
      </c>
      <c r="E66" s="76" t="str">
        <f>$D$41</f>
        <v>1.7.2024</v>
      </c>
      <c r="F66" s="57"/>
      <c r="G66" s="58" t="s">
        <v>134</v>
      </c>
      <c r="H66" s="57"/>
      <c r="I66" s="57"/>
      <c r="J66" s="57"/>
      <c r="K66" s="57"/>
    </row>
    <row r="67" spans="1:11">
      <c r="A67" s="80" t="s">
        <v>126</v>
      </c>
      <c r="B67" s="57"/>
      <c r="C67" s="62">
        <f>C70-C69-C68</f>
        <v>0</v>
      </c>
      <c r="D67" s="62">
        <f>D70-D69-D68</f>
        <v>0</v>
      </c>
      <c r="E67" s="11">
        <f>ROUND(D67*(VLOOKUP(MONTH('Virkamies 9'!$F$7),aikaYEL9,4))*(VLOOKUP(MONTH('Virkamies 9'!$F$7),aikaYEL9,2)),2)</f>
        <v>0</v>
      </c>
      <c r="F67" s="57"/>
      <c r="G67" s="58" t="s">
        <v>135</v>
      </c>
      <c r="H67" s="57"/>
      <c r="I67" s="57"/>
      <c r="J67" s="57"/>
      <c r="K67" s="57"/>
    </row>
    <row r="68" spans="1:11">
      <c r="A68" s="80" t="s">
        <v>129</v>
      </c>
      <c r="B68" s="57"/>
      <c r="C68" s="62">
        <f>'Virkamies 9'!$F$15*12*VLOOKUP($D$40,IF(YEAR($F$6)=vuosi,'poa2024'!$F$5:$I$57,IF(YEAR($F$6)=vuosi1,vastuunjako1,vastuunjako2)),3)</f>
        <v>0</v>
      </c>
      <c r="D68" s="62">
        <f>C68*(1+0.031*((IF(DAY('Virkamies 9'!$F$8)=31,DAYS360('Virkamies 9'!$F$6,'Virkamies 9'!$F$8,TRUE)-1,DAYS360('Virkamies 9'!$F$6,'Virkamies 9'!$F$8,TRUE)))/360))</f>
        <v>0</v>
      </c>
      <c r="E68" s="81">
        <f>ROUND(D68*(VLOOKUP(MONTH('Virkamies 9'!$F$7),aikaYEL9,4))*(VLOOKUP(MONTH('Virkamies 9'!$F$7),aikaYEL9,2)),2)</f>
        <v>0</v>
      </c>
      <c r="F68" s="57"/>
      <c r="G68" s="62">
        <f>E68</f>
        <v>0</v>
      </c>
      <c r="H68" s="57"/>
      <c r="I68" s="57"/>
      <c r="J68" s="57"/>
      <c r="K68" s="57"/>
    </row>
    <row r="69" spans="1:11">
      <c r="A69" s="82" t="s">
        <v>130</v>
      </c>
      <c r="B69" s="83"/>
      <c r="C69" s="84">
        <f>'Virkamies 9'!$F$15*12*VLOOKUP($D$40,IF(YEAR($F$6)=vuosi,'poa2024'!$F$5:$I$57,IF(YEAR($F$6)=vuosi1,vastuunjako1,vastuunjako2)),4)</f>
        <v>0</v>
      </c>
      <c r="D69" s="84">
        <f>C69*(1+0.031*((IF(DAY('Virkamies 9'!$F$8)=31,DAYS360('Virkamies 9'!$F$6,'Virkamies 9'!$F$8,TRUE)-1,DAYS360('Virkamies 9'!$F$6,'Virkamies 9'!$F$8,TRUE)))/360))</f>
        <v>0</v>
      </c>
      <c r="E69" s="85">
        <f>ROUND(D69*(VLOOKUP(MONTH('Virkamies 9'!$F$7),aikaYEL9,4))*(VLOOKUP(MONTH('Virkamies 9'!$F$7),aikaYEL9,2)),2)</f>
        <v>0</v>
      </c>
      <c r="F69" s="57"/>
      <c r="G69" s="84">
        <f>E69</f>
        <v>0</v>
      </c>
      <c r="H69" s="57"/>
      <c r="I69" s="57"/>
      <c r="J69" s="57"/>
      <c r="K69" s="57"/>
    </row>
    <row r="70" spans="1:11">
      <c r="A70" s="57" t="s">
        <v>131</v>
      </c>
      <c r="B70" s="57"/>
      <c r="C70" s="62">
        <f>'Virkamies 9'!$F$15*12*VLOOKUP($D$40,IF(YEAR($F$6)=vuosi,'poa2024'!$B$5:$C$57,IF(YEAR($F$6)=vuosi1,perusturva1,perusturva2)),2)</f>
        <v>0</v>
      </c>
      <c r="D70" s="62">
        <f>C70*(1+0.031*((IF(DAY('Virkamies 9'!$F$8)=31,DAYS360('Virkamies 9'!$F$6,'Virkamies 9'!$F$8,TRUE)-1,DAYS360('Virkamies 9'!$F$6,'Virkamies 9'!$F$8,TRUE)))/360))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</row>
    <row r="71" spans="1:11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</row>
    <row r="72" spans="1:11">
      <c r="A72" s="5" t="s">
        <v>136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</row>
    <row r="73" spans="1:11">
      <c r="A73" s="5"/>
      <c r="B73" s="57"/>
      <c r="C73" s="58" t="s">
        <v>122</v>
      </c>
      <c r="D73" s="58" t="s">
        <v>122</v>
      </c>
      <c r="E73" s="58" t="s">
        <v>122</v>
      </c>
      <c r="F73" s="57"/>
      <c r="G73" s="58"/>
      <c r="H73" s="57"/>
      <c r="I73" s="57"/>
      <c r="J73" s="57"/>
      <c r="K73" s="57"/>
    </row>
    <row r="74" spans="1:11">
      <c r="A74" s="5"/>
      <c r="B74" s="57"/>
      <c r="C74" s="79">
        <f>'Virkamies 9'!F$6</f>
        <v>0</v>
      </c>
      <c r="D74" s="79">
        <f>'Virkamies 9'!F$8</f>
        <v>0</v>
      </c>
      <c r="E74" s="76" t="str">
        <f>$D$41</f>
        <v>1.7.2024</v>
      </c>
      <c r="F74" s="57"/>
      <c r="G74" s="58"/>
      <c r="H74" s="57"/>
      <c r="I74" s="57"/>
      <c r="J74" s="57"/>
      <c r="K74" s="57"/>
    </row>
    <row r="75" spans="1:11">
      <c r="A75" s="80" t="s">
        <v>126</v>
      </c>
      <c r="B75" s="57"/>
      <c r="C75" s="62">
        <f>C78-C77-C76</f>
        <v>0</v>
      </c>
      <c r="D75" s="62">
        <f>D78-D77-D76</f>
        <v>0</v>
      </c>
      <c r="E75" s="11">
        <f>ROUND(D75*(VLOOKUP(MONTH('Virkamies 9'!$F$7),aika9,4))*(VLOOKUP(MONTH('Virkamies 9'!$F$7),aika9,2)),2)</f>
        <v>0</v>
      </c>
      <c r="F75" s="57"/>
      <c r="G75" s="58"/>
      <c r="H75" s="57"/>
      <c r="I75" s="57"/>
      <c r="J75" s="57"/>
      <c r="K75" s="57"/>
    </row>
    <row r="76" spans="1:11">
      <c r="A76" s="80" t="s">
        <v>129</v>
      </c>
      <c r="B76" s="57"/>
      <c r="C76" s="62">
        <f>'Virkamies 9'!$F$16*12*VLOOKUP($D$40,IF(YEAR($F$6)=vuosi,'poa2024'!$F$5:$I$57,IF(YEAR($F$6)=vuosi1,vastuunjako1,vastuunjako2)),3)</f>
        <v>0</v>
      </c>
      <c r="D76" s="62">
        <f>C76*(1+0.031*((IF(DAY('Virkamies 9'!$F$8)=31,DAYS360('Virkamies 9'!$F$6,'Virkamies 9'!$F$8,TRUE)-1,DAYS360('Virkamies 9'!$F$6,'Virkamies 9'!$F$8,TRUE)))/360))</f>
        <v>0</v>
      </c>
      <c r="E76" s="11">
        <f>ROUND(D76*(VLOOKUP(MONTH('Virkamies 9'!$F$7),aika9,4))*(VLOOKUP(MONTH('Virkamies 9'!$F$7),aika9,2)),2)</f>
        <v>0</v>
      </c>
      <c r="F76" s="57"/>
      <c r="G76" s="58"/>
      <c r="H76" s="57"/>
      <c r="I76" s="57"/>
      <c r="J76" s="57"/>
      <c r="K76" s="57"/>
    </row>
    <row r="77" spans="1:11">
      <c r="A77" s="82" t="s">
        <v>130</v>
      </c>
      <c r="B77" s="83"/>
      <c r="C77" s="84">
        <f>'Virkamies 9'!$F$16*12*VLOOKUP($D$40,IF(YEAR($F$6)=vuosi,'poa2024'!$F$5:$I$57,IF(YEAR($F$6)=vuosi1,vastuunjako1,vastuunjako2)),4)</f>
        <v>0</v>
      </c>
      <c r="D77" s="84">
        <f>C77*(1+0.031*((IF(DAY('Virkamies 9'!$F$8)=31,DAYS360('Virkamies 9'!$F$6,'Virkamies 9'!$F$8,TRUE)-1,DAYS360('Virkamies 9'!$F$6,'Virkamies 9'!$F$8,TRUE)))/360))</f>
        <v>0</v>
      </c>
      <c r="E77" s="48">
        <f>ROUND(D77*(VLOOKUP(MONTH('Virkamies 9'!$F$7),aika9,4))*(VLOOKUP(MONTH('Virkamies 9'!$F$7),aika9,2)),2)</f>
        <v>0</v>
      </c>
      <c r="F77" s="57"/>
      <c r="G77" s="58"/>
      <c r="H77" s="57"/>
      <c r="I77" s="57"/>
      <c r="J77" s="57"/>
      <c r="K77" s="57"/>
    </row>
    <row r="78" spans="1:11">
      <c r="A78" s="57" t="s">
        <v>131</v>
      </c>
      <c r="B78" s="57"/>
      <c r="C78" s="62">
        <f>'Virkamies 9'!$F$16*12*VLOOKUP($D$40,IF(YEAR($F$6)=vuosi,'poa2024'!$B$5:$C$57,IF(YEAR($F$6)=vuosi1,perusturva1,perusturva2)),2)</f>
        <v>0</v>
      </c>
      <c r="D78" s="62">
        <f>C78*(1+0.031*((IF(DAY('Virkamies 9'!$F$8)=31,DAYS360('Virkamies 9'!$F$6,'Virkamies 9'!$F$8,TRUE)-1,DAYS360('Virkamies 9'!$F$6,'Virkamies 9'!$F$8,TRUE)))/360))</f>
        <v>0</v>
      </c>
      <c r="E78" s="62">
        <f>SUM(E75:E77)</f>
        <v>0</v>
      </c>
      <c r="F78" s="25"/>
      <c r="G78" s="58"/>
      <c r="H78" s="86" t="s">
        <v>137</v>
      </c>
      <c r="I78" s="57" t="s">
        <v>138</v>
      </c>
      <c r="J78" s="57"/>
      <c r="K78" s="57"/>
    </row>
    <row r="79" spans="1:11">
      <c r="A79" s="57"/>
      <c r="B79" s="57"/>
      <c r="C79" s="62"/>
      <c r="D79" s="62"/>
      <c r="E79" s="62"/>
      <c r="F79" s="57"/>
      <c r="G79" s="58"/>
      <c r="H79" s="58"/>
      <c r="I79" s="57" t="s">
        <v>139</v>
      </c>
      <c r="J79" s="57"/>
      <c r="K79" s="57"/>
    </row>
    <row r="80" spans="1:11">
      <c r="A80" s="5" t="s">
        <v>145</v>
      </c>
      <c r="B80" s="57"/>
      <c r="C80" s="62">
        <f>'Virkamies 9'!$F$21*12*VLOOKUP($D$40,IF(YEAR($F$6)=vuosi,'poa2024'!$B$62:$E$114,IF(YEAR($F$6)=vuosi1,lisäturva1,lisäturva2)),2)+'Virkamies 9'!$F$22*12*VLOOKUP($D$40,IF(YEAR($F$6)=vuosi,'poa2024'!$B$62:$E$114,IF(YEAR($F$6)=vuosi1,lisäturva1,lisäturva2)),IF('Virkamies 9'!$F$23="LL",3,4))</f>
        <v>0</v>
      </c>
      <c r="D80" s="62">
        <f>C80*(1+0.031*((IF(DAY('Virkamies 9'!$F$8)=31,DAYS360('Virkamies 9'!$F$6,'Virkamies 9'!$F$8,TRUE)-1,DAYS360('Virkamies 9'!$F$6,'Virkamies 9'!$F$8,TRUE)))/360))</f>
        <v>0</v>
      </c>
      <c r="E80" s="11">
        <f>ROUND(D80*(VLOOKUP(MONTH('Virkamies 9'!$F$7),aika9,4))*(VLOOKUP(MONTH('Virkamies 9'!$F$7),aika9,2)),2)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</row>
    <row r="81" spans="1:11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</row>
    <row r="82" spans="1:11">
      <c r="A82" s="5" t="s">
        <v>146</v>
      </c>
      <c r="B82" s="57"/>
      <c r="C82" s="62">
        <f>'Virkamies 9'!$F$24*12*VLOOKUP($D$40,IF(YEAR($F$6)=vuosi,'poa2024'!$B$62:$E$114,IF(YEAR($F$6)=vuosi1,lisäturva1,lisäturva2)),2)+'Virkamies 9'!$F$25*12*VLOOKUP($D$40,IF(YEAR($F$6)=vuosi,'poa2024'!$B$62:$E$114,IF(YEAR($F$6)=vuosi1,lisäturva1,lisäturva2)),IF('Virkamies 9'!$F$26="LL",3,4))</f>
        <v>0</v>
      </c>
      <c r="D82" s="62">
        <f>C82*(1+0.031*((IF(DAY('Virkamies 9'!$F$8)=31,DAYS360('Virkamies 9'!$F$6,'Virkamies 9'!$F$8,TRUE)-1,DAYS360('Virkamies 9'!$F$6,'Virkamies 9'!$F$8,TRUE)))/360))</f>
        <v>0</v>
      </c>
      <c r="E82" s="11">
        <f>ROUND(D82*(VLOOKUP(MONTH('Virkamies 9'!$F$7),aikaYEL9,4))*(VLOOKUP(MONTH('Virkamies 9'!$F$7),aikaYEL9,2)),2)</f>
        <v>0</v>
      </c>
      <c r="F82" s="57"/>
      <c r="G82" s="86"/>
      <c r="H82" s="57"/>
      <c r="I82" s="57"/>
      <c r="J82" s="57"/>
      <c r="K82" s="57"/>
    </row>
    <row r="83" spans="1:11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</row>
    <row r="84" spans="1:11">
      <c r="A84" s="5" t="s">
        <v>142</v>
      </c>
      <c r="B84" s="57"/>
      <c r="C84" s="62">
        <f>'Virkamies 9'!$F$17*12*VLOOKUP($D$40,IF(YEAR($F$6)=vuosi,'poa2024'!$B$5:$C$57,IF(YEAR($F$6)=vuosi1,perusturva1,perusturva2)),2)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9'!$F$7),aika9,4))*(VLOOKUP(MONTH('Virkamies 9'!$F$7),aika9,2)),2)</f>
        <v>0</v>
      </c>
      <c r="F84" s="25"/>
      <c r="G84" s="62"/>
      <c r="H84" s="57"/>
      <c r="I84" s="62"/>
      <c r="J84" s="57"/>
      <c r="K84" s="57"/>
    </row>
    <row r="85" spans="1:11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</row>
    <row r="86" spans="1:11">
      <c r="A86" s="5" t="s">
        <v>131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</row>
    <row r="87" spans="1:1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</row>
    <row r="92" spans="1:11">
      <c r="A92" s="57"/>
      <c r="B92" s="80"/>
      <c r="C92" s="57"/>
      <c r="D92" s="57"/>
      <c r="E92" s="57"/>
      <c r="F92" s="57"/>
      <c r="G92" s="57"/>
      <c r="H92" s="57"/>
      <c r="I92" s="57"/>
      <c r="J92" s="57"/>
      <c r="K92" s="57"/>
    </row>
    <row r="93" spans="1:1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ul15"/>
  <dimension ref="A1:AH87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140625" style="6"/>
    <col min="9" max="9" width="11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143</v>
      </c>
      <c r="AC1" s="58" t="s">
        <v>77</v>
      </c>
      <c r="AD1" s="57" t="s">
        <v>78</v>
      </c>
      <c r="AE1" s="57"/>
      <c r="AF1" s="57"/>
      <c r="AG1" s="57"/>
      <c r="AH1" s="8" t="str">
        <f>LEFT(F5,2)&amp;"."&amp;MID(F5,3,2)&amp;".19"&amp;MID(F5,5,2)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>
      <c r="A3" s="5" t="s">
        <v>80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>
        <v>1</v>
      </c>
      <c r="AB3" s="66">
        <f>(1+'KJ-vuosi'!B4)^((31-DAY($F$7))/360)</f>
        <v>1.003466091602899</v>
      </c>
      <c r="AC3" s="57">
        <f>(1+'KJ-vuosi'!B4)^(1/12)</f>
        <v>1.0033540948994528</v>
      </c>
      <c r="AD3" s="57">
        <f>AC4*AD4</f>
        <v>1.0168833519905274</v>
      </c>
      <c r="AE3" s="57"/>
      <c r="AF3" s="57"/>
      <c r="AG3" s="57"/>
      <c r="AH3" s="57"/>
    </row>
    <row r="4" spans="1:34">
      <c r="A4" s="5"/>
      <c r="B4" s="57" t="s">
        <v>82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1.003466091602899</v>
      </c>
      <c r="AC4" s="57">
        <f>(1+'KJ-vuosi'!B5)^(1/12)</f>
        <v>1.0033540948994528</v>
      </c>
      <c r="AD4" s="57">
        <f>AC5*AD5</f>
        <v>1.0134840303735744</v>
      </c>
      <c r="AE4" s="57"/>
      <c r="AF4" s="57"/>
      <c r="AG4" s="57"/>
      <c r="AH4" s="57"/>
    </row>
    <row r="5" spans="1:34">
      <c r="A5" s="57"/>
      <c r="B5" s="57" t="s">
        <v>83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1.003466091602899</v>
      </c>
      <c r="AC5" s="57">
        <f>(1+'KJ-vuosi'!B6)^(1/12)</f>
        <v>1.0033540948994528</v>
      </c>
      <c r="AD5" s="57">
        <f>AC6*AD6</f>
        <v>1.0100960722895507</v>
      </c>
      <c r="AE5" s="57"/>
      <c r="AF5" s="57"/>
      <c r="AG5" s="57"/>
      <c r="AH5" s="57"/>
    </row>
    <row r="6" spans="1:34">
      <c r="A6" s="57"/>
      <c r="B6" s="57" t="s">
        <v>84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1.003466091602899</v>
      </c>
      <c r="AC6" s="57">
        <f>(1+'KJ-vuosi'!B7)^(1/12)</f>
        <v>1.0033540948994528</v>
      </c>
      <c r="AD6" s="57">
        <f>AC7*AD7</f>
        <v>1.0067194397515002</v>
      </c>
      <c r="AE6" s="57"/>
      <c r="AF6" s="57"/>
      <c r="AG6" s="57"/>
      <c r="AH6" s="57"/>
    </row>
    <row r="7" spans="1:34">
      <c r="A7" s="57"/>
      <c r="B7" s="57" t="s">
        <v>85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1.003466091602899</v>
      </c>
      <c r="AC7" s="57">
        <f>(1+'KJ-vuosi'!B8)^(1/12)</f>
        <v>1.0033540948994528</v>
      </c>
      <c r="AD7" s="57">
        <f>AC8</f>
        <v>1.0033540948994528</v>
      </c>
      <c r="AE7" s="57"/>
      <c r="AF7" s="57"/>
      <c r="AG7" s="57"/>
      <c r="AH7" s="57"/>
    </row>
    <row r="8" spans="1:34">
      <c r="A8" s="57"/>
      <c r="B8" s="57" t="s">
        <v>86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1.003466091602899</v>
      </c>
      <c r="AC8" s="57">
        <f>(1+'KJ-vuosi'!B9)^(1/12)</f>
        <v>1.0033540948994528</v>
      </c>
      <c r="AD8" s="57">
        <v>1</v>
      </c>
      <c r="AE8" s="57"/>
      <c r="AF8" s="57"/>
      <c r="AG8" s="57"/>
      <c r="AH8" s="57"/>
    </row>
    <row r="9" spans="1:34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10'!$F$7))/360))</f>
        <v>1</v>
      </c>
      <c r="AC9" s="57">
        <f>(1+'KJ-vuosi'!B10)^(-1/12)</f>
        <v>0.99693686989174457</v>
      </c>
      <c r="AD9" s="57">
        <v>1</v>
      </c>
      <c r="AE9" s="57"/>
      <c r="AF9" s="57"/>
      <c r="AG9" s="57"/>
      <c r="AH9" s="57"/>
    </row>
    <row r="10" spans="1:34">
      <c r="A10" s="5" t="s">
        <v>87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10'!$F$7))/360))</f>
        <v>1</v>
      </c>
      <c r="AC10" s="57">
        <f>(1+'KJ-vuosi'!B11)^(-1/12)</f>
        <v>0.99693686989174457</v>
      </c>
      <c r="AD10" s="57">
        <f>AC9</f>
        <v>0.99693686989174457</v>
      </c>
      <c r="AE10" s="57"/>
      <c r="AF10" s="57"/>
      <c r="AG10" s="57"/>
      <c r="AH10" s="57"/>
    </row>
    <row r="11" spans="1:34">
      <c r="A11" s="5" t="s">
        <v>88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10'!$F$7))/360))</f>
        <v>1</v>
      </c>
      <c r="AC11" s="57">
        <f>(1+'KJ-vuosi'!B12)^(-1/12)</f>
        <v>0.99693686989174457</v>
      </c>
      <c r="AD11" s="57">
        <f>AD10*AC10</f>
        <v>0.99388312254954925</v>
      </c>
      <c r="AE11" s="57"/>
      <c r="AF11" s="57"/>
      <c r="AG11" s="57"/>
      <c r="AH11" s="57"/>
    </row>
    <row r="12" spans="1:34">
      <c r="A12" s="57"/>
      <c r="B12" s="57" t="s">
        <v>89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10'!$F$7))/360))</f>
        <v>1</v>
      </c>
      <c r="AC12" s="57">
        <f>(1+'KJ-vuosi'!B13)^(-1/12)</f>
        <v>0.99693686989174457</v>
      </c>
      <c r="AD12" s="57">
        <f>AD11*AC11</f>
        <v>0.99083872923278082</v>
      </c>
      <c r="AE12" s="57"/>
      <c r="AF12" s="57"/>
      <c r="AG12" s="57"/>
      <c r="AH12" s="57"/>
    </row>
    <row r="13" spans="1:34">
      <c r="A13" s="57"/>
      <c r="B13" s="57" t="s">
        <v>90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10'!$F$7))/360))</f>
        <v>1</v>
      </c>
      <c r="AC13" s="57">
        <f>(1+'KJ-vuosi'!B14)^(-1/12)</f>
        <v>0.99693686989174457</v>
      </c>
      <c r="AD13" s="57">
        <f>AD12*AC12</f>
        <v>0.98780366128884234</v>
      </c>
      <c r="AE13" s="57"/>
      <c r="AF13" s="57"/>
      <c r="AG13" s="57"/>
      <c r="AH13" s="57"/>
    </row>
    <row r="14" spans="1:34">
      <c r="A14" s="57"/>
      <c r="B14" s="57" t="s">
        <v>144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10'!$F$7))/360))</f>
        <v>1</v>
      </c>
      <c r="AC14" s="57">
        <f>(1+'KJ-vuosi'!B15)^(-1/12)</f>
        <v>0.99693686989174457</v>
      </c>
      <c r="AD14" s="57">
        <f>AD13*AC13</f>
        <v>0.98477789015290351</v>
      </c>
      <c r="AE14" s="57"/>
      <c r="AF14" s="57"/>
      <c r="AG14" s="57"/>
      <c r="AH14" s="57"/>
    </row>
    <row r="15" spans="1:34">
      <c r="A15" s="57"/>
      <c r="B15" s="57" t="s">
        <v>92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93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94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95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88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76</v>
      </c>
      <c r="AC20" s="57" t="s">
        <v>77</v>
      </c>
      <c r="AD20" s="57" t="s">
        <v>78</v>
      </c>
      <c r="AE20" s="57"/>
      <c r="AF20" s="57"/>
      <c r="AG20" s="57"/>
      <c r="AH20" s="8" t="str">
        <f>LEFT(F5,2)&amp;"."&amp;MID(F5,3,2)&amp;".19"&amp;MID(F5,5,2)</f>
        <v>..19</v>
      </c>
    </row>
    <row r="21" spans="1:34">
      <c r="A21" s="57"/>
      <c r="B21" s="57" t="s">
        <v>96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79</v>
      </c>
      <c r="AC21" s="57"/>
      <c r="AD21" s="57"/>
      <c r="AE21" s="57"/>
      <c r="AF21" s="57"/>
      <c r="AG21" s="57"/>
      <c r="AH21" s="57"/>
    </row>
    <row r="22" spans="1:34">
      <c r="A22" s="57"/>
      <c r="B22" s="57" t="s">
        <v>97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98</v>
      </c>
      <c r="AA22" s="57">
        <v>1</v>
      </c>
      <c r="AB22" s="66">
        <f>(1+'KJ-vuosi'!$B$16)^((31-DAY($F$7))/360)</f>
        <v>1.003466091602899</v>
      </c>
      <c r="AC22" s="57">
        <f>+(1+'KJ-vuosi'!B16)^(1/12)</f>
        <v>1.0033540948994528</v>
      </c>
      <c r="AD22" s="57">
        <f>AC23*AD23</f>
        <v>1.0168833519905274</v>
      </c>
      <c r="AE22" s="57"/>
      <c r="AF22" s="57"/>
      <c r="AG22" s="57"/>
      <c r="AH22" s="57"/>
    </row>
    <row r="23" spans="1:34">
      <c r="A23" s="57"/>
      <c r="B23" s="57" t="s">
        <v>99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1.003466091602899</v>
      </c>
      <c r="AC23" s="57">
        <f>+(1+'KJ-vuosi'!B16)^(1/12)</f>
        <v>1.0033540948994528</v>
      </c>
      <c r="AD23" s="57">
        <f>AC24*AD24</f>
        <v>1.0134840303735744</v>
      </c>
      <c r="AE23" s="57"/>
      <c r="AF23" s="57"/>
      <c r="AG23" s="57"/>
      <c r="AH23" s="57"/>
    </row>
    <row r="24" spans="1:34">
      <c r="A24" s="57"/>
      <c r="B24" s="57" t="s">
        <v>100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1.003466091602899</v>
      </c>
      <c r="AC24" s="57">
        <f>+(1+'KJ-vuosi'!B16)^(1/12)</f>
        <v>1.0033540948994528</v>
      </c>
      <c r="AD24" s="57">
        <f>AC25*AD25</f>
        <v>1.0100960722895507</v>
      </c>
      <c r="AE24" s="57"/>
      <c r="AF24" s="57"/>
      <c r="AG24" s="57"/>
      <c r="AH24" s="57"/>
    </row>
    <row r="25" spans="1:34">
      <c r="A25" s="57"/>
      <c r="B25" s="57" t="s">
        <v>101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1.003466091602899</v>
      </c>
      <c r="AC25" s="57">
        <f>+(1+'KJ-vuosi'!B16)^(1/12)</f>
        <v>1.0033540948994528</v>
      </c>
      <c r="AD25" s="57">
        <f>AC26*AD26</f>
        <v>1.0067194397515002</v>
      </c>
      <c r="AE25" s="57"/>
      <c r="AF25" s="57"/>
      <c r="AG25" s="57"/>
      <c r="AH25" s="57"/>
    </row>
    <row r="26" spans="1:34">
      <c r="A26" s="57"/>
      <c r="B26" s="57" t="s">
        <v>102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1.003466091602899</v>
      </c>
      <c r="AC26" s="57">
        <f>+(1+'KJ-vuosi'!B16)^(1/12)</f>
        <v>1.0033540948994528</v>
      </c>
      <c r="AD26" s="57">
        <f>AC27</f>
        <v>1.0033540948994528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1.003466091602899</v>
      </c>
      <c r="AC27" s="57">
        <f>+(1+'KJ-vuosi'!B16)^(1/12)</f>
        <v>1.0033540948994528</v>
      </c>
      <c r="AD27" s="57">
        <v>1</v>
      </c>
      <c r="AE27" s="57"/>
      <c r="AF27" s="57"/>
      <c r="AG27" s="57"/>
      <c r="AH27" s="57"/>
    </row>
    <row r="28" spans="1:34">
      <c r="A28" s="5" t="s">
        <v>103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10'!$F$7))/360))</f>
        <v>1</v>
      </c>
      <c r="AC28" s="57">
        <f>+(1+'KJ-vuosi'!B16)^(-1/12)</f>
        <v>0.99665711744587149</v>
      </c>
      <c r="AD28" s="57">
        <v>1</v>
      </c>
      <c r="AE28" s="57"/>
      <c r="AF28" s="57"/>
      <c r="AG28" s="57"/>
      <c r="AH28" s="57"/>
    </row>
    <row r="29" spans="1:34">
      <c r="A29" s="57"/>
      <c r="B29" s="57" t="s">
        <v>104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10'!$F$7))/360))</f>
        <v>1</v>
      </c>
      <c r="AC29" s="57">
        <f>+(1+'KJ-vuosi'!B16)^(-1/12)</f>
        <v>0.99665711744587149</v>
      </c>
      <c r="AD29" s="57">
        <f>AC28</f>
        <v>0.99665711744587149</v>
      </c>
      <c r="AE29" s="57"/>
      <c r="AF29" s="57"/>
      <c r="AG29" s="57"/>
      <c r="AH29" s="57"/>
    </row>
    <row r="30" spans="1:34">
      <c r="A30" s="57"/>
      <c r="B30" s="57" t="s">
        <v>105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10'!$F$7))/360))</f>
        <v>1</v>
      </c>
      <c r="AC30" s="57">
        <f>+(1+'KJ-vuosi'!B16)^(-1/12)</f>
        <v>0.99665711744587149</v>
      </c>
      <c r="AD30" s="57">
        <f>AD29*AC29</f>
        <v>0.99332540975551364</v>
      </c>
      <c r="AE30" s="57"/>
      <c r="AF30" s="57"/>
      <c r="AG30" s="57"/>
      <c r="AH30" s="57"/>
    </row>
    <row r="31" spans="1:34">
      <c r="A31" s="57"/>
      <c r="B31" s="57" t="s">
        <v>106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10'!$F$7))/360))</f>
        <v>1</v>
      </c>
      <c r="AC31" s="57">
        <f>+(1+'KJ-vuosi'!B16)^(-1/12)</f>
        <v>0.99665711744587149</v>
      </c>
      <c r="AD31" s="57">
        <f>AD30*AC30</f>
        <v>0.99000483957266938</v>
      </c>
      <c r="AE31" s="57"/>
      <c r="AF31" s="57"/>
      <c r="AG31" s="57"/>
      <c r="AH31" s="57"/>
    </row>
    <row r="32" spans="1:34">
      <c r="A32" s="57"/>
      <c r="B32" s="57" t="s">
        <v>107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10'!$F$7))/360))</f>
        <v>1</v>
      </c>
      <c r="AC32" s="57">
        <f>+(1+'KJ-vuosi'!B16)^(-1/12)</f>
        <v>0.99665711744587149</v>
      </c>
      <c r="AD32" s="57">
        <f>AD31*AC31</f>
        <v>0.98669536966595905</v>
      </c>
      <c r="AE32" s="57"/>
      <c r="AF32" s="57"/>
      <c r="AG32" s="57"/>
      <c r="AH32" s="57"/>
    </row>
    <row r="33" spans="1:31">
      <c r="A33" s="57"/>
      <c r="B33" s="57" t="s">
        <v>108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10'!$F$7))/360))</f>
        <v>1</v>
      </c>
      <c r="AC33" s="57">
        <f>+(1+'KJ-vuosi'!B16)^(-1/12)</f>
        <v>0.99665711744587149</v>
      </c>
      <c r="AD33" s="57">
        <f>AD32*AC32</f>
        <v>0.98339696292846335</v>
      </c>
      <c r="AE33" s="57"/>
    </row>
    <row r="34" spans="1:31">
      <c r="A34" s="57"/>
      <c r="B34" s="57" t="s">
        <v>109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</row>
    <row r="36" spans="1:31">
      <c r="A36" s="57" t="s">
        <v>110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</row>
    <row r="38" spans="1:31" ht="18">
      <c r="A38" s="1" t="s">
        <v>111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</row>
    <row r="39" spans="1:31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</row>
    <row r="40" spans="1:31">
      <c r="A40" s="57" t="s">
        <v>112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</row>
    <row r="41" spans="1:31">
      <c r="A41" s="57" t="s">
        <v>151</v>
      </c>
      <c r="B41" s="57"/>
      <c r="C41" s="57"/>
      <c r="D41" s="76" t="str">
        <f>"1.7."&amp;TEXT('KJ-vuosi'!$B$3,0)</f>
        <v>1.7.2024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</row>
    <row r="42" spans="1:31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</row>
    <row r="43" spans="1:31">
      <c r="A43" s="5" t="s">
        <v>113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</row>
    <row r="44" spans="1:31">
      <c r="A44" s="57"/>
      <c r="B44" s="57"/>
      <c r="C44" s="58" t="s">
        <v>114</v>
      </c>
      <c r="D44" s="58" t="s">
        <v>115</v>
      </c>
      <c r="E44" s="58" t="s">
        <v>116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</row>
    <row r="45" spans="1:31">
      <c r="A45" s="57"/>
      <c r="B45" s="57"/>
      <c r="C45" s="58" t="s">
        <v>117</v>
      </c>
      <c r="D45" s="77" t="s">
        <v>118</v>
      </c>
      <c r="E45" s="58" t="s">
        <v>119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</row>
    <row r="46" spans="1:31">
      <c r="A46" s="57"/>
      <c r="B46" s="57"/>
      <c r="C46" s="78"/>
      <c r="D46" s="77" t="s">
        <v>120</v>
      </c>
      <c r="E46" s="58" t="str">
        <f>+D41&amp;")"</f>
        <v>1.7.2024)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</row>
    <row r="47" spans="1:31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</row>
    <row r="48" spans="1:31">
      <c r="A48" s="5" t="s">
        <v>121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</row>
    <row r="49" spans="1:9">
      <c r="A49" s="57"/>
      <c r="B49" s="57"/>
      <c r="C49" s="58" t="s">
        <v>122</v>
      </c>
      <c r="D49" s="58" t="s">
        <v>122</v>
      </c>
      <c r="E49" s="58" t="s">
        <v>122</v>
      </c>
      <c r="F49" s="58"/>
      <c r="G49" s="58" t="s">
        <v>123</v>
      </c>
      <c r="H49" s="57"/>
      <c r="I49" s="62"/>
    </row>
    <row r="50" spans="1:9">
      <c r="A50" s="5"/>
      <c r="B50" s="57"/>
      <c r="C50" s="79">
        <f>'Virkamies 10'!F$6</f>
        <v>0</v>
      </c>
      <c r="D50" s="79">
        <f>'Virkamies 10'!F$8</f>
        <v>0</v>
      </c>
      <c r="E50" s="76" t="str">
        <f>$D$41</f>
        <v>1.7.2024</v>
      </c>
      <c r="F50" s="79"/>
      <c r="G50" s="58" t="s">
        <v>124</v>
      </c>
      <c r="H50" s="57"/>
      <c r="I50" s="57" t="s">
        <v>125</v>
      </c>
    </row>
    <row r="51" spans="1:9">
      <c r="A51" s="80" t="s">
        <v>126</v>
      </c>
      <c r="B51" s="57"/>
      <c r="C51" s="62">
        <f>C54-C53-C52</f>
        <v>0</v>
      </c>
      <c r="D51" s="62">
        <f>D54-D53-D52</f>
        <v>0</v>
      </c>
      <c r="E51" s="11">
        <f>ROUND(D51*(VLOOKUP(MONTH('Virkamies 10'!$F$7),aika10,4))*(VLOOKUP(MONTH('Virkamies 10'!$F$7),aika10,2)),2)</f>
        <v>0</v>
      </c>
      <c r="F51" s="57"/>
      <c r="G51" s="58" t="s">
        <v>127</v>
      </c>
      <c r="H51" s="57"/>
      <c r="I51" s="57" t="s">
        <v>128</v>
      </c>
    </row>
    <row r="52" spans="1:9">
      <c r="A52" s="80" t="s">
        <v>129</v>
      </c>
      <c r="B52" s="57"/>
      <c r="C52" s="62">
        <f>'Virkamies 10'!$F$12*12*VLOOKUP($D$40,IF(YEAR($F$6)=vuosi,'poa2024'!$F$5:$I$57,IF(YEAR($F$6)=vuosi1,vastuunjako1,vastuunjako2)),3)</f>
        <v>0</v>
      </c>
      <c r="D52" s="62">
        <f>C52*(1+0.031*((IF(DAY('Virkamies 10'!$F$8)=31,DAYS360('Virkamies 10'!$F$6,'Virkamies 10'!$F$8,TRUE)-1,DAYS360('Virkamies 10'!$F$6,'Virkamies 10'!$F$8,TRUE)))/360))</f>
        <v>0</v>
      </c>
      <c r="E52" s="81">
        <f>ROUND(D52*(VLOOKUP(MONTH('Virkamies 10'!$F$7),aika10,4))*(VLOOKUP(MONTH('Virkamies 10'!$F$7),aika10,2)),2)</f>
        <v>0</v>
      </c>
      <c r="F52" s="57"/>
      <c r="G52" s="47">
        <f>E52</f>
        <v>0</v>
      </c>
      <c r="H52" s="57"/>
      <c r="I52" s="57"/>
    </row>
    <row r="53" spans="1:9">
      <c r="A53" s="82" t="s">
        <v>130</v>
      </c>
      <c r="B53" s="83"/>
      <c r="C53" s="84">
        <f>'Virkamies 10'!$F$12*12*VLOOKUP($D$40,IF(YEAR($F$6)=vuosi,'poa2024'!$F$5:$I$57,IF(YEAR($F$6)=vuosi1,vastuunjako1,vastuunjako2)),4)</f>
        <v>0</v>
      </c>
      <c r="D53" s="84">
        <f>C53*(1+0.031*((IF(DAY('Virkamies 10'!$F$8)=31,DAYS360('Virkamies 10'!$F$6,'Virkamies 10'!$F$8,TRUE)-1,DAYS360('Virkamies 10'!$F$6,'Virkamies 10'!$F$8,TRUE)))/360))</f>
        <v>0</v>
      </c>
      <c r="E53" s="85">
        <f>ROUND(D53*(VLOOKUP(MONTH('Virkamies 10'!$F$7),aika10,4))*(VLOOKUP(MONTH('Virkamies 10'!$F$7),aika10,2)),2)</f>
        <v>0</v>
      </c>
      <c r="F53" s="57"/>
      <c r="G53" s="84">
        <f>E53</f>
        <v>0</v>
      </c>
      <c r="H53" s="57"/>
      <c r="I53" s="83"/>
    </row>
    <row r="54" spans="1:9">
      <c r="A54" s="57" t="s">
        <v>131</v>
      </c>
      <c r="B54" s="57"/>
      <c r="C54" s="62">
        <f>'Virkamies 10'!$F$12*12*VLOOKUP($D$40,IF(YEAR($F$6)=vuosi,'poa2024'!$B$5:$C$57,IF(YEAR($F$6)=vuosi1,perusturva1,perusturva2)),2)</f>
        <v>0</v>
      </c>
      <c r="D54" s="62">
        <f>C54*(1+0.031*((IF(DAY('Virkamies 10'!$F$8)=31,DAYS360('Virkamies 10'!$F$6,'Virkamies 10'!$F$8,TRUE)-1,DAYS360('Virkamies 10'!$F$6,'Virkamies 10'!$F$8,TRUE)))/360))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10'!$F$14*12*VLOOKUP($D$40,IF(YEAR($F$6)=vuosi,'poa2024'!B5:C57,IF(YEAR($F$6)=vuosi1,perusturva1,perusturva2)),2))*(1+0.031*((IF(DAY('Virkamies 10'!$F$8)=31,DAYS360('Virkamies 10'!$F$6,'Virkamies 10'!$F$8,TRUE)-1,DAYS360('Virkamies 10'!$F$6,'Virkamies 10'!$F$8,TRUE)))/360))*(VLOOKUP(MONTH('Virkamies 10'!$F$7),aika1,4))*(VLOOKUP(MONTH('Virkamies 10'!$F$7),aika1,2))),2)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132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122</v>
      </c>
      <c r="D57" s="58" t="s">
        <v>122</v>
      </c>
      <c r="E57" s="58" t="s">
        <v>122</v>
      </c>
      <c r="F57" s="57"/>
      <c r="G57" s="57"/>
      <c r="H57" s="57"/>
      <c r="I57" s="57"/>
    </row>
    <row r="58" spans="1:9">
      <c r="A58" s="5"/>
      <c r="B58" s="57"/>
      <c r="C58" s="79">
        <f>'Virkamies 10'!F$6</f>
        <v>0</v>
      </c>
      <c r="D58" s="79">
        <f>'Virkamies 10'!F$8</f>
        <v>0</v>
      </c>
      <c r="E58" s="76" t="str">
        <f>$D$41</f>
        <v>1.7.2024</v>
      </c>
      <c r="F58" s="57"/>
      <c r="G58" s="57"/>
      <c r="H58" s="57"/>
      <c r="I58" s="57"/>
    </row>
    <row r="59" spans="1:9">
      <c r="A59" s="80" t="s">
        <v>126</v>
      </c>
      <c r="B59" s="57"/>
      <c r="C59" s="62">
        <f>C62-C61-C60</f>
        <v>0</v>
      </c>
      <c r="D59" s="62">
        <f>D62-D61-D60</f>
        <v>0</v>
      </c>
      <c r="E59" s="11">
        <f>ROUND(D59*(VLOOKUP(MONTH('Virkamies 10'!$F$7),aika10,4))*(VLOOKUP(MONTH('Virkamies 10'!$F$7),aika10,2)),2)</f>
        <v>0</v>
      </c>
      <c r="F59" s="57"/>
      <c r="G59" s="57"/>
      <c r="H59" s="57"/>
      <c r="I59" s="57"/>
    </row>
    <row r="60" spans="1:9">
      <c r="A60" s="80" t="s">
        <v>129</v>
      </c>
      <c r="B60" s="57"/>
      <c r="C60" s="62">
        <f>'Virkamies 10'!$F$13*12*VLOOKUP($D$40,IF(YEAR($F$6)=vuosi,'poa2024'!$F$5:$I$57,IF(YEAR($F$6)=vuosi1,vastuunjako1,vastuunjako2)),3)</f>
        <v>0</v>
      </c>
      <c r="D60" s="62">
        <f>C60*(1+0.031*((IF(DAY('Virkamies 10'!$F$8)=31,DAYS360('Virkamies 10'!$F$6,'Virkamies 10'!$F$8,TRUE)-1,DAYS360('Virkamies 10'!$F$6,'Virkamies 10'!$F$8,TRUE)))/360))</f>
        <v>0</v>
      </c>
      <c r="E60" s="81">
        <f>ROUND(D60*(VLOOKUP(MONTH('Virkamies 10'!$F$7),aika10,4))*(VLOOKUP(MONTH('Virkamies 10'!$F$7),aika10,2)),2)</f>
        <v>0</v>
      </c>
      <c r="F60" s="57"/>
      <c r="G60" s="57"/>
      <c r="H60" s="57"/>
      <c r="I60" s="57"/>
    </row>
    <row r="61" spans="1:9">
      <c r="A61" s="82" t="s">
        <v>130</v>
      </c>
      <c r="B61" s="83"/>
      <c r="C61" s="84">
        <f>'Virkamies 10'!$F$13*12*VLOOKUP($D$40,IF(YEAR($F$6)=vuosi,'poa2024'!$F$5:$I$57,IF(YEAR($F$6)=vuosi1,vastuunjako1,vastuunjako2)),4)</f>
        <v>0</v>
      </c>
      <c r="D61" s="84">
        <f>C61*(1+0.031*((IF(DAY('Virkamies 10'!$F$8)=31,DAYS360('Virkamies 10'!$F$6,'Virkamies 10'!$F$8,TRUE)-1,DAYS360('Virkamies 10'!$F$6,'Virkamies 10'!$F$8,TRUE)))/360))</f>
        <v>0</v>
      </c>
      <c r="E61" s="85">
        <f>ROUND(D61*(VLOOKUP(MONTH('Virkamies 10'!$F$7),aika10,4))*(VLOOKUP(MONTH('Virkamies 10'!$F$7),aika10,2)),2)</f>
        <v>0</v>
      </c>
      <c r="F61" s="57"/>
      <c r="G61" s="57"/>
      <c r="H61" s="57"/>
      <c r="I61" s="57"/>
    </row>
    <row r="62" spans="1:9">
      <c r="A62" s="57" t="s">
        <v>131</v>
      </c>
      <c r="B62" s="57"/>
      <c r="C62" s="62">
        <f>'Virkamies 10'!$F$13*12*VLOOKUP($D$40,IF(YEAR($F$6)=vuosi,'poa2024'!$B$5:$C$57,IF(YEAR($F$6)=vuosi1,perusturva1,perusturva2)),2)</f>
        <v>0</v>
      </c>
      <c r="D62" s="62">
        <f>C62*(1+0.031*((IF(DAY('Virkamies 10'!$F$8)=31,DAYS360('Virkamies 10'!$F$6,'Virkamies 10'!$F$8,TRUE)-1,DAYS360('Virkamies 10'!$F$6,'Virkamies 10'!$F$8,TRUE)))/360))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133</v>
      </c>
      <c r="B64" s="57"/>
      <c r="C64" s="62"/>
      <c r="D64" s="57"/>
      <c r="E64" s="57"/>
      <c r="F64" s="57"/>
      <c r="G64" s="57"/>
      <c r="H64" s="57"/>
      <c r="I64" s="57"/>
    </row>
    <row r="65" spans="1:12">
      <c r="A65" s="5"/>
      <c r="B65" s="57"/>
      <c r="C65" s="58" t="s">
        <v>122</v>
      </c>
      <c r="D65" s="58" t="s">
        <v>122</v>
      </c>
      <c r="E65" s="58" t="s">
        <v>122</v>
      </c>
      <c r="F65" s="57"/>
      <c r="G65" s="58" t="s">
        <v>123</v>
      </c>
      <c r="H65" s="57"/>
      <c r="I65" s="57"/>
      <c r="J65" s="57"/>
      <c r="K65" s="57"/>
      <c r="L65" s="57"/>
    </row>
    <row r="66" spans="1:12">
      <c r="A66" s="5"/>
      <c r="B66" s="57"/>
      <c r="C66" s="79">
        <f>'Virkamies 10'!F$6</f>
        <v>0</v>
      </c>
      <c r="D66" s="79">
        <f>'Virkamies 10'!F$8</f>
        <v>0</v>
      </c>
      <c r="E66" s="76" t="str">
        <f>$D$41</f>
        <v>1.7.2024</v>
      </c>
      <c r="F66" s="57"/>
      <c r="G66" s="58" t="s">
        <v>134</v>
      </c>
      <c r="H66" s="57"/>
      <c r="I66" s="57"/>
      <c r="J66" s="57"/>
      <c r="K66" s="57"/>
      <c r="L66" s="57"/>
    </row>
    <row r="67" spans="1:12">
      <c r="A67" s="80" t="s">
        <v>126</v>
      </c>
      <c r="B67" s="57"/>
      <c r="C67" s="62">
        <f>C70-C69-C68</f>
        <v>0</v>
      </c>
      <c r="D67" s="62">
        <f>D70-D69-D68</f>
        <v>0</v>
      </c>
      <c r="E67" s="11">
        <f>ROUND(D67*(VLOOKUP(MONTH('Virkamies 10'!$F$7),aikaYEL10,4))*(VLOOKUP(MONTH('Virkamies 10'!$F$7),aikaYEL10,2)),2)</f>
        <v>0</v>
      </c>
      <c r="F67" s="57"/>
      <c r="G67" s="58" t="s">
        <v>135</v>
      </c>
      <c r="H67" s="57"/>
      <c r="I67" s="57"/>
      <c r="J67" s="57"/>
      <c r="K67" s="57"/>
      <c r="L67" s="57"/>
    </row>
    <row r="68" spans="1:12">
      <c r="A68" s="80" t="s">
        <v>129</v>
      </c>
      <c r="B68" s="57"/>
      <c r="C68" s="62">
        <f>'Virkamies 10'!$F$15*12*VLOOKUP($D$40,IF(YEAR($F$6)=vuosi,'poa2024'!$F$5:$I$57,IF(YEAR($F$6)=vuosi1,vastuunjako1,vastuunjako2)),3)</f>
        <v>0</v>
      </c>
      <c r="D68" s="62">
        <f>C68*(1+0.031*((IF(DAY('Virkamies 10'!$F$8)=31,DAYS360('Virkamies 10'!$F$6,'Virkamies 10'!$F$8,TRUE)-1,DAYS360('Virkamies 10'!$F$6,'Virkamies 10'!$F$8,TRUE)))/360))</f>
        <v>0</v>
      </c>
      <c r="E68" s="81">
        <f>ROUND(D68*(VLOOKUP(MONTH('Virkamies 10'!$F$7),aikaYEL10,4))*(VLOOKUP(MONTH('Virkamies 10'!$F$7),aikaYEL10,2)),2)</f>
        <v>0</v>
      </c>
      <c r="F68" s="57"/>
      <c r="G68" s="62">
        <f>E68</f>
        <v>0</v>
      </c>
      <c r="H68" s="57"/>
      <c r="I68" s="57"/>
      <c r="J68" s="57"/>
      <c r="K68" s="57"/>
      <c r="L68" s="57"/>
    </row>
    <row r="69" spans="1:12">
      <c r="A69" s="82" t="s">
        <v>130</v>
      </c>
      <c r="B69" s="83"/>
      <c r="C69" s="84">
        <f>'Virkamies 10'!$F$15*12*VLOOKUP($D$40,IF(YEAR($F$6)=vuosi,'poa2024'!$F$5:$I$57,IF(YEAR($F$6)=vuosi1,vastuunjako1,vastuunjako2)),4)</f>
        <v>0</v>
      </c>
      <c r="D69" s="84">
        <f>C69*(1+0.031*((IF(DAY('Virkamies 10'!$F$8)=31,DAYS360('Virkamies 10'!$F$6,'Virkamies 10'!$F$8,TRUE)-1,DAYS360('Virkamies 10'!$F$6,'Virkamies 10'!$F$8,TRUE)))/360))</f>
        <v>0</v>
      </c>
      <c r="E69" s="85">
        <f>ROUND(D69*(VLOOKUP(MONTH('Virkamies 10'!$F$7),aikaYEL10,4))*(VLOOKUP(MONTH('Virkamies 10'!$F$7),aikaYEL10,2)),2)</f>
        <v>0</v>
      </c>
      <c r="F69" s="57"/>
      <c r="G69" s="84">
        <f>E69</f>
        <v>0</v>
      </c>
      <c r="H69" s="57"/>
      <c r="I69" s="57"/>
      <c r="J69" s="57"/>
      <c r="K69" s="57"/>
      <c r="L69" s="57"/>
    </row>
    <row r="70" spans="1:12">
      <c r="A70" s="57" t="s">
        <v>131</v>
      </c>
      <c r="B70" s="57"/>
      <c r="C70" s="62">
        <f>'Virkamies 10'!$F$15*12*VLOOKUP($D$40,IF(YEAR($F$6)=vuosi,'poa2024'!$B$5:$C$57,IF(YEAR($F$6)=vuosi1,perusturva1,perusturva2)),2)</f>
        <v>0</v>
      </c>
      <c r="D70" s="62">
        <f>C70*(1+0.031*((IF(DAY('Virkamies 10'!$F$8)=31,DAYS360('Virkamies 10'!$F$6,'Virkamies 10'!$F$8,TRUE)-1,DAYS360('Virkamies 10'!$F$6,'Virkamies 10'!$F$8,TRUE)))/360))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  <c r="L70" s="57"/>
    </row>
    <row r="71" spans="1:12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  <c r="L71" s="57"/>
    </row>
    <row r="72" spans="1:12">
      <c r="A72" s="5" t="s">
        <v>136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  <c r="L72" s="57"/>
    </row>
    <row r="73" spans="1:12">
      <c r="A73" s="5"/>
      <c r="B73" s="57"/>
      <c r="C73" s="58" t="s">
        <v>122</v>
      </c>
      <c r="D73" s="58" t="s">
        <v>122</v>
      </c>
      <c r="E73" s="58" t="s">
        <v>122</v>
      </c>
      <c r="F73" s="57"/>
      <c r="G73" s="58"/>
      <c r="H73" s="57"/>
      <c r="I73" s="57"/>
      <c r="J73" s="57"/>
      <c r="K73" s="57"/>
      <c r="L73" s="57"/>
    </row>
    <row r="74" spans="1:12">
      <c r="A74" s="5"/>
      <c r="B74" s="57"/>
      <c r="C74" s="79">
        <f>'Virkamies 10'!F$6</f>
        <v>0</v>
      </c>
      <c r="D74" s="79">
        <f>'Virkamies 10'!F$8</f>
        <v>0</v>
      </c>
      <c r="E74" s="76" t="str">
        <f>$D$41</f>
        <v>1.7.2024</v>
      </c>
      <c r="F74" s="57"/>
      <c r="G74" s="58"/>
      <c r="H74" s="57"/>
      <c r="I74" s="57"/>
      <c r="J74" s="57"/>
      <c r="K74" s="57"/>
      <c r="L74" s="57"/>
    </row>
    <row r="75" spans="1:12">
      <c r="A75" s="80" t="s">
        <v>126</v>
      </c>
      <c r="B75" s="57"/>
      <c r="C75" s="62">
        <f>C78-C77-C76</f>
        <v>0</v>
      </c>
      <c r="D75" s="62">
        <f>D78-D77-D76</f>
        <v>0</v>
      </c>
      <c r="E75" s="11">
        <f>ROUND(D75*(VLOOKUP(MONTH('Virkamies 10'!$F$7),aika10,4))*(VLOOKUP(MONTH('Virkamies 10'!$F$7),aika10,2)),2)</f>
        <v>0</v>
      </c>
      <c r="F75" s="57"/>
      <c r="G75" s="58"/>
      <c r="H75" s="57"/>
      <c r="I75" s="57"/>
      <c r="J75" s="57"/>
      <c r="K75" s="57"/>
      <c r="L75" s="57"/>
    </row>
    <row r="76" spans="1:12">
      <c r="A76" s="80" t="s">
        <v>129</v>
      </c>
      <c r="B76" s="57"/>
      <c r="C76" s="62">
        <f>'Virkamies 10'!$F$16*12*VLOOKUP($D$40,IF(YEAR($F$6)=vuosi,'poa2024'!$F$5:$I$57,IF(YEAR($F$6)=vuosi1,vastuunjako1,vastuunjako2)),3)</f>
        <v>0</v>
      </c>
      <c r="D76" s="62">
        <f>C76*(1+0.031*((IF(DAY('Virkamies 10'!$F$8)=31,DAYS360('Virkamies 10'!$F$6,'Virkamies 10'!$F$8,TRUE)-1,DAYS360('Virkamies 10'!$F$6,'Virkamies 10'!$F$8,TRUE)))/360))</f>
        <v>0</v>
      </c>
      <c r="E76" s="11">
        <f>ROUND(D76*(VLOOKUP(MONTH('Virkamies 10'!$F$7),aika10,4))*(VLOOKUP(MONTH('Virkamies 10'!$F$7),aika10,2)),2)</f>
        <v>0</v>
      </c>
      <c r="F76" s="57"/>
      <c r="G76" s="58"/>
      <c r="H76" s="57"/>
      <c r="I76" s="57"/>
      <c r="J76" s="57"/>
      <c r="K76" s="57"/>
      <c r="L76" s="57"/>
    </row>
    <row r="77" spans="1:12">
      <c r="A77" s="82" t="s">
        <v>130</v>
      </c>
      <c r="B77" s="83"/>
      <c r="C77" s="84">
        <f>'Virkamies 10'!$F$16*12*VLOOKUP($D$40,IF(YEAR($F$6)=vuosi,'poa2024'!$F$5:$I$57,IF(YEAR($F$6)=vuosi1,vastuunjako1,vastuunjako2)),4)</f>
        <v>0</v>
      </c>
      <c r="D77" s="84">
        <f>C77*(1+0.031*((IF(DAY('Virkamies 10'!$F$8)=31,DAYS360('Virkamies 10'!$F$6,'Virkamies 10'!$F$8,TRUE)-1,DAYS360('Virkamies 10'!$F$6,'Virkamies 10'!$F$8,TRUE)))/360))</f>
        <v>0</v>
      </c>
      <c r="E77" s="48">
        <f>ROUND(D77*(VLOOKUP(MONTH('Virkamies 10'!$F$7),aika10,4))*(VLOOKUP(MONTH('Virkamies 10'!$F$7),aika10,2)),2)</f>
        <v>0</v>
      </c>
      <c r="F77" s="57"/>
      <c r="G77" s="58"/>
      <c r="H77" s="57"/>
      <c r="I77" s="57"/>
      <c r="J77" s="57"/>
      <c r="K77" s="57"/>
      <c r="L77" s="57"/>
    </row>
    <row r="78" spans="1:12">
      <c r="A78" s="57" t="s">
        <v>131</v>
      </c>
      <c r="B78" s="57"/>
      <c r="C78" s="62">
        <f>'Virkamies 10'!$F$16*12*VLOOKUP($D$40,IF(YEAR($F$6)=vuosi,'poa2024'!$B$5:$C$57,IF(YEAR($F$6)=vuosi1,perusturva1,perusturva2)),2)</f>
        <v>0</v>
      </c>
      <c r="D78" s="62">
        <f>C78*(1+0.031*((IF(DAY('Virkamies 10'!$F$8)=31,DAYS360('Virkamies 10'!$F$6,'Virkamies 10'!$F$8,TRUE)-1,DAYS360('Virkamies 10'!$F$6,'Virkamies 10'!$F$8,TRUE)))/360))</f>
        <v>0</v>
      </c>
      <c r="E78" s="62">
        <f>SUM(E75:E77)</f>
        <v>0</v>
      </c>
      <c r="F78" s="25"/>
      <c r="G78" s="58"/>
      <c r="H78" s="86" t="s">
        <v>137</v>
      </c>
      <c r="I78" s="57" t="s">
        <v>138</v>
      </c>
      <c r="J78" s="57"/>
      <c r="K78" s="57"/>
      <c r="L78" s="57"/>
    </row>
    <row r="79" spans="1:12">
      <c r="A79" s="57"/>
      <c r="B79" s="57"/>
      <c r="C79" s="62"/>
      <c r="D79" s="62"/>
      <c r="E79" s="62"/>
      <c r="F79" s="57"/>
      <c r="G79" s="58"/>
      <c r="H79" s="58"/>
      <c r="I79" s="57" t="s">
        <v>139</v>
      </c>
      <c r="J79" s="57"/>
      <c r="K79" s="57"/>
      <c r="L79" s="57"/>
    </row>
    <row r="80" spans="1:12">
      <c r="A80" s="5" t="s">
        <v>145</v>
      </c>
      <c r="B80" s="57"/>
      <c r="C80" s="62">
        <f>'Virkamies 10'!$F$21*12*VLOOKUP($D$40,IF(YEAR($F$6)=vuosi,'poa2024'!$B$62:$E$114,IF(YEAR($F$6)=vuosi1,lisäturva1,lisäturva2)),2)+'Virkamies 10'!$F$22*12*VLOOKUP($D$40,IF(YEAR($F$6)=vuosi,'poa2024'!$B$62:$E$114,IF(YEAR($F$6)=vuosi1,lisäturva1,lisäturva2)),IF('Virkamies 10'!$F$23="LL",3,4))</f>
        <v>0</v>
      </c>
      <c r="D80" s="62">
        <f>C80*(1+0.031*((IF(DAY('Virkamies 10'!$F$8)=31,DAYS360('Virkamies 10'!$F$6,'Virkamies 10'!$F$8,TRUE)-1,DAYS360('Virkamies 10'!$F$6,'Virkamies 10'!$F$8,TRUE)))/360))</f>
        <v>0</v>
      </c>
      <c r="E80" s="11">
        <f>ROUND(D80*(VLOOKUP(MONTH('Virkamies 10'!$F$7),aika10,4))*(VLOOKUP(MONTH('Virkamies 10'!$F$7),aika10,2)),2)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  <c r="L80" s="57"/>
    </row>
    <row r="81" spans="1:12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  <c r="L81" s="57"/>
    </row>
    <row r="82" spans="1:12">
      <c r="A82" s="5" t="s">
        <v>146</v>
      </c>
      <c r="B82" s="57"/>
      <c r="C82" s="62">
        <f>'Virkamies 10'!$F$24*12*VLOOKUP($D$40,IF(YEAR($F$6)=vuosi,'poa2024'!$B$62:$E$114,IF(YEAR($F$6)=vuosi1,lisäturva1,lisäturva2)),2)+'Virkamies 10'!$F$25*12*VLOOKUP($D$40,IF(YEAR($F$6)=vuosi,'poa2024'!$B$62:$E$114,IF(YEAR($F$6)=vuosi1,lisäturva1,lisäturva2)),IF('Virkamies 10'!$F$26="LL",3,4))</f>
        <v>0</v>
      </c>
      <c r="D82" s="62">
        <f>C82*(1+0.031*((IF(DAY('Virkamies 10'!$F$8)=31,DAYS360('Virkamies 10'!$F$6,'Virkamies 10'!$F$8,TRUE)-1,DAYS360('Virkamies 10'!$F$6,'Virkamies 10'!$F$8,TRUE)))/360))</f>
        <v>0</v>
      </c>
      <c r="E82" s="11">
        <f>ROUND(D82*(VLOOKUP(MONTH('Virkamies 10'!$F$7),aikaYEL10,4))*(VLOOKUP(MONTH('Virkamies 10'!$F$7),aikaYEL10,2)),2)</f>
        <v>0</v>
      </c>
      <c r="F82" s="57"/>
      <c r="G82" s="86"/>
      <c r="H82" s="57"/>
      <c r="I82" s="57"/>
      <c r="J82" s="57"/>
      <c r="K82" s="57"/>
      <c r="L82" s="57"/>
    </row>
    <row r="83" spans="1:12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  <c r="L83" s="57"/>
    </row>
    <row r="84" spans="1:12">
      <c r="A84" s="5" t="s">
        <v>142</v>
      </c>
      <c r="B84" s="57"/>
      <c r="C84" s="62">
        <f>'Virkamies 10'!$F$17*12*VLOOKUP($D$40,IF(YEAR($F$6)=vuosi,'poa2024'!$B$5:$C$57,IF(YEAR($F$6)=vuosi1,perusturva1,perusturva2)),2)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10'!$F$7),aika10,4))*(VLOOKUP(MONTH('Virkamies 10'!$F$7),aika10,2)),2)</f>
        <v>0</v>
      </c>
      <c r="F84" s="25"/>
      <c r="G84" s="62"/>
      <c r="H84" s="57"/>
      <c r="I84" s="62"/>
      <c r="J84" s="57"/>
      <c r="K84" s="57"/>
      <c r="L84" s="57"/>
    </row>
    <row r="85" spans="1:12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  <c r="L85" s="57"/>
    </row>
    <row r="86" spans="1:12">
      <c r="A86" s="5" t="s">
        <v>131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  <c r="L86" s="57"/>
    </row>
    <row r="87" spans="1:12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C16"/>
  <sheetViews>
    <sheetView workbookViewId="0"/>
  </sheetViews>
  <sheetFormatPr defaultColWidth="9.140625" defaultRowHeight="14.25"/>
  <cols>
    <col min="1" max="1" width="57" style="2" customWidth="1"/>
    <col min="2" max="16384" width="9.140625" style="2"/>
  </cols>
  <sheetData>
    <row r="1" spans="1:3" ht="18">
      <c r="A1" s="1" t="s">
        <v>29</v>
      </c>
      <c r="B1" s="57"/>
      <c r="C1" s="57"/>
    </row>
    <row r="2" spans="1:3">
      <c r="A2" s="5"/>
      <c r="B2" s="57"/>
      <c r="C2" s="57"/>
    </row>
    <row r="3" spans="1:3">
      <c r="A3" s="57" t="s">
        <v>30</v>
      </c>
      <c r="B3" s="70">
        <v>2024</v>
      </c>
    </row>
    <row r="4" spans="1:3">
      <c r="A4" s="57" t="s">
        <v>158</v>
      </c>
      <c r="B4" s="71">
        <v>4.1000000000000002E-2</v>
      </c>
    </row>
    <row r="5" spans="1:3">
      <c r="A5" s="57" t="s">
        <v>159</v>
      </c>
      <c r="B5" s="71">
        <v>4.1000000000000002E-2</v>
      </c>
    </row>
    <row r="6" spans="1:3">
      <c r="A6" s="57" t="s">
        <v>160</v>
      </c>
      <c r="B6" s="71">
        <v>4.1000000000000002E-2</v>
      </c>
    </row>
    <row r="7" spans="1:3">
      <c r="A7" s="57" t="s">
        <v>161</v>
      </c>
      <c r="B7" s="71">
        <v>4.1000000000000002E-2</v>
      </c>
    </row>
    <row r="8" spans="1:3">
      <c r="A8" s="57" t="s">
        <v>162</v>
      </c>
      <c r="B8" s="71">
        <v>4.1000000000000002E-2</v>
      </c>
    </row>
    <row r="9" spans="1:3">
      <c r="A9" s="57" t="s">
        <v>163</v>
      </c>
      <c r="B9" s="71">
        <v>4.1000000000000002E-2</v>
      </c>
    </row>
    <row r="10" spans="1:3">
      <c r="A10" s="57" t="s">
        <v>164</v>
      </c>
      <c r="B10" s="71">
        <v>3.7499999999999999E-2</v>
      </c>
      <c r="C10" s="88"/>
    </row>
    <row r="11" spans="1:3">
      <c r="A11" s="57" t="s">
        <v>165</v>
      </c>
      <c r="B11" s="71">
        <v>3.7499999999999999E-2</v>
      </c>
      <c r="C11" s="88"/>
    </row>
    <row r="12" spans="1:3">
      <c r="A12" s="57" t="s">
        <v>166</v>
      </c>
      <c r="B12" s="71">
        <v>3.7499999999999999E-2</v>
      </c>
      <c r="C12" s="88"/>
    </row>
    <row r="13" spans="1:3">
      <c r="A13" s="57" t="s">
        <v>167</v>
      </c>
      <c r="B13" s="71">
        <v>3.7499999999999999E-2</v>
      </c>
      <c r="C13" s="88"/>
    </row>
    <row r="14" spans="1:3">
      <c r="A14" s="57" t="s">
        <v>168</v>
      </c>
      <c r="B14" s="71">
        <v>3.7499999999999999E-2</v>
      </c>
      <c r="C14" s="88"/>
    </row>
    <row r="15" spans="1:3">
      <c r="A15" s="57" t="s">
        <v>169</v>
      </c>
      <c r="B15" s="71">
        <v>3.7499999999999999E-2</v>
      </c>
      <c r="C15" s="88"/>
    </row>
    <row r="16" spans="1:3">
      <c r="A16" s="57" t="s">
        <v>170</v>
      </c>
      <c r="B16" s="71">
        <v>4.1000000000000002E-2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horizontalDpi="8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H43"/>
  <sheetViews>
    <sheetView zoomScaleNormal="100" workbookViewId="0"/>
  </sheetViews>
  <sheetFormatPr defaultRowHeight="12.75"/>
  <cols>
    <col min="1" max="1" width="5" customWidth="1"/>
    <col min="2" max="2" width="65.42578125" customWidth="1"/>
    <col min="3" max="3" width="3.42578125" bestFit="1" customWidth="1"/>
    <col min="4" max="4" width="4.5703125" bestFit="1" customWidth="1"/>
    <col min="5" max="5" width="3.140625" bestFit="1" customWidth="1"/>
    <col min="6" max="6" width="17.85546875" customWidth="1"/>
  </cols>
  <sheetData>
    <row r="1" spans="1:7" ht="14.25">
      <c r="A1" s="30" t="s">
        <v>31</v>
      </c>
      <c r="B1" s="31"/>
      <c r="C1" s="32"/>
      <c r="D1" s="32"/>
      <c r="E1" s="33"/>
      <c r="F1" s="46"/>
      <c r="G1" s="32"/>
    </row>
    <row r="2" spans="1:7">
      <c r="A2" s="33"/>
      <c r="B2" s="33"/>
      <c r="C2" s="32"/>
      <c r="D2" s="32"/>
      <c r="E2" s="33"/>
      <c r="F2" s="40"/>
      <c r="G2" s="32"/>
    </row>
    <row r="3" spans="1:7" ht="13.5">
      <c r="A3" s="33"/>
      <c r="B3" s="34" t="s">
        <v>32</v>
      </c>
      <c r="C3" s="32"/>
      <c r="D3" s="32"/>
      <c r="E3" s="31"/>
      <c r="F3" s="41"/>
      <c r="G3" s="32"/>
    </row>
    <row r="4" spans="1:7" ht="15.75">
      <c r="A4" s="35"/>
      <c r="B4" s="33" t="s">
        <v>33</v>
      </c>
      <c r="C4" s="32" t="s">
        <v>34</v>
      </c>
      <c r="D4" s="32" t="s">
        <v>35</v>
      </c>
      <c r="E4" s="33"/>
      <c r="F4" s="42">
        <f>SUM('Virkamies 1:Virkamies 10'!E51)</f>
        <v>0</v>
      </c>
      <c r="G4" s="32"/>
    </row>
    <row r="5" spans="1:7" ht="15.75">
      <c r="A5" s="35"/>
      <c r="B5" s="33" t="s">
        <v>36</v>
      </c>
      <c r="C5" s="32" t="s">
        <v>34</v>
      </c>
      <c r="D5" s="32" t="s">
        <v>37</v>
      </c>
      <c r="E5" s="33"/>
      <c r="F5" s="43">
        <f>SUM('Virkamies 1:Virkamies 10'!E59)</f>
        <v>0</v>
      </c>
      <c r="G5" s="32"/>
    </row>
    <row r="6" spans="1:7" ht="15.75">
      <c r="A6" s="35"/>
      <c r="B6" s="33" t="s">
        <v>38</v>
      </c>
      <c r="C6" s="32" t="s">
        <v>34</v>
      </c>
      <c r="D6" s="32" t="s">
        <v>39</v>
      </c>
      <c r="E6" s="33"/>
      <c r="F6" s="43">
        <f>SUM('Virkamies 1:Virkamies 10'!E67)</f>
        <v>0</v>
      </c>
      <c r="G6" s="32"/>
    </row>
    <row r="7" spans="1:7" ht="15.75">
      <c r="A7" s="35"/>
      <c r="B7" s="33" t="s">
        <v>40</v>
      </c>
      <c r="C7" s="32" t="s">
        <v>34</v>
      </c>
      <c r="D7" s="32" t="s">
        <v>41</v>
      </c>
      <c r="E7" s="33"/>
      <c r="F7" s="42">
        <f>SUM('Virkamies 1:Virkamies 10'!E75)</f>
        <v>0</v>
      </c>
      <c r="G7" s="32"/>
    </row>
    <row r="8" spans="1:7">
      <c r="A8" s="33"/>
      <c r="B8" s="33"/>
      <c r="C8" s="32"/>
      <c r="D8" s="32"/>
      <c r="E8" s="33"/>
      <c r="F8" s="40"/>
      <c r="G8" s="32"/>
    </row>
    <row r="9" spans="1:7" ht="13.5">
      <c r="A9" s="33"/>
      <c r="B9" s="34" t="s">
        <v>42</v>
      </c>
      <c r="C9" s="32"/>
      <c r="D9" s="32"/>
      <c r="E9" s="31"/>
      <c r="F9" s="41"/>
      <c r="G9" s="32"/>
    </row>
    <row r="10" spans="1:7" ht="15.75">
      <c r="A10" s="35"/>
      <c r="B10" s="33" t="s">
        <v>43</v>
      </c>
      <c r="C10" s="32" t="s">
        <v>34</v>
      </c>
      <c r="D10" s="56" t="s">
        <v>44</v>
      </c>
      <c r="E10" s="33"/>
      <c r="F10" s="42">
        <f>SUM('Virkamies 1:Virkamies 10'!G54)</f>
        <v>0</v>
      </c>
      <c r="G10" s="44"/>
    </row>
    <row r="11" spans="1:7" ht="15.75">
      <c r="A11" s="35"/>
      <c r="B11" s="33" t="s">
        <v>45</v>
      </c>
      <c r="C11" s="32" t="s">
        <v>34</v>
      </c>
      <c r="D11" s="56" t="s">
        <v>46</v>
      </c>
      <c r="E11" s="33"/>
      <c r="F11" s="43">
        <f>SUM('Virkamies 1:Virkamies 10'!E60)+SUM('Virkamies 1:Virkamies 10'!E61)</f>
        <v>0</v>
      </c>
      <c r="G11" s="32"/>
    </row>
    <row r="12" spans="1:7" ht="15.75">
      <c r="A12" s="35"/>
      <c r="B12" s="33" t="s">
        <v>47</v>
      </c>
      <c r="C12" s="32" t="s">
        <v>34</v>
      </c>
      <c r="D12" s="56" t="s">
        <v>48</v>
      </c>
      <c r="E12" s="33"/>
      <c r="F12" s="43">
        <f>SUM('Virkamies 1:Virkamies 10'!G70)</f>
        <v>0</v>
      </c>
      <c r="G12" s="32"/>
    </row>
    <row r="13" spans="1:7" ht="15.75">
      <c r="A13" s="35"/>
      <c r="B13" s="33" t="s">
        <v>49</v>
      </c>
      <c r="C13" s="32" t="s">
        <v>34</v>
      </c>
      <c r="D13" s="56" t="s">
        <v>50</v>
      </c>
      <c r="E13" s="33"/>
      <c r="F13" s="43">
        <f>SUM('Virkamies 1:Virkamies 10'!E76)+SUM('Virkamies 1:Virkamies 10'!E77)</f>
        <v>0</v>
      </c>
      <c r="G13" s="32"/>
    </row>
    <row r="14" spans="1:7">
      <c r="A14" s="33"/>
      <c r="B14" s="33"/>
      <c r="C14" s="32"/>
      <c r="D14" s="32"/>
      <c r="E14" s="31"/>
      <c r="F14" s="40"/>
      <c r="G14" s="36"/>
    </row>
    <row r="15" spans="1:7" ht="15.75">
      <c r="A15" s="37" t="s">
        <v>51</v>
      </c>
      <c r="B15" s="31"/>
      <c r="C15" s="32"/>
      <c r="D15" s="32"/>
      <c r="E15" s="31"/>
      <c r="F15" s="39"/>
      <c r="G15" s="36"/>
    </row>
    <row r="16" spans="1:7">
      <c r="A16" s="33"/>
      <c r="B16" s="33"/>
      <c r="C16" s="32"/>
      <c r="D16" s="32"/>
      <c r="E16" s="31"/>
      <c r="F16" s="40"/>
      <c r="G16" s="36"/>
    </row>
    <row r="17" spans="1:7">
      <c r="A17" s="35"/>
      <c r="B17" s="33" t="s">
        <v>52</v>
      </c>
      <c r="C17" s="32" t="s">
        <v>34</v>
      </c>
      <c r="D17" s="56" t="s">
        <v>53</v>
      </c>
      <c r="E17" s="33"/>
      <c r="F17" s="42">
        <f>SUM('Virkamies 1:Virkamies 10'!F29:F34)+SUM('Virkamies 1:Virkamies 10'!G80)+SUM('Virkamies 1:Virkamies 10'!I80)</f>
        <v>0</v>
      </c>
      <c r="G17" s="44"/>
    </row>
    <row r="18" spans="1:7" ht="15.75">
      <c r="A18" s="35"/>
      <c r="B18" s="33" t="s">
        <v>54</v>
      </c>
      <c r="C18" s="32"/>
      <c r="D18" s="56"/>
      <c r="E18" s="33"/>
      <c r="F18" s="40"/>
      <c r="G18" s="32"/>
    </row>
    <row r="19" spans="1:7">
      <c r="C19" s="32"/>
      <c r="D19" s="56"/>
      <c r="E19" s="33"/>
      <c r="F19" s="40"/>
      <c r="G19" s="33"/>
    </row>
    <row r="20" spans="1:7" ht="15.75">
      <c r="A20" s="37" t="s">
        <v>55</v>
      </c>
      <c r="B20" s="31"/>
      <c r="C20" s="32"/>
      <c r="D20" s="56"/>
      <c r="E20" s="33"/>
      <c r="F20" s="40"/>
      <c r="G20" s="33"/>
    </row>
    <row r="21" spans="1:7">
      <c r="A21" s="33"/>
      <c r="B21" s="38"/>
      <c r="F21" s="44"/>
    </row>
    <row r="22" spans="1:7">
      <c r="A22" s="35"/>
      <c r="B22" s="33" t="s">
        <v>56</v>
      </c>
      <c r="C22" s="32" t="s">
        <v>34</v>
      </c>
      <c r="D22" s="56" t="s">
        <v>57</v>
      </c>
      <c r="E22" s="33"/>
      <c r="F22" s="45">
        <f>SUM('Virkamies 1:Virkamies 10'!E82)</f>
        <v>0</v>
      </c>
    </row>
    <row r="23" spans="1:7" ht="15.75">
      <c r="A23" s="33"/>
      <c r="B23" s="33" t="s">
        <v>58</v>
      </c>
      <c r="C23" s="32"/>
      <c r="D23" s="56"/>
      <c r="E23" s="33"/>
      <c r="F23" s="44"/>
    </row>
    <row r="24" spans="1:7" ht="13.5">
      <c r="A24" s="33"/>
      <c r="B24" s="34"/>
      <c r="C24" s="32"/>
      <c r="D24" s="32"/>
      <c r="E24" s="31"/>
      <c r="F24" s="44"/>
    </row>
    <row r="25" spans="1:7" ht="15.75">
      <c r="A25" s="37" t="s">
        <v>59</v>
      </c>
      <c r="F25" s="44"/>
    </row>
    <row r="26" spans="1:7">
      <c r="A26" s="72"/>
      <c r="F26" s="44"/>
    </row>
    <row r="27" spans="1:7" ht="15.75">
      <c r="A27" s="35"/>
      <c r="B27" s="33" t="s">
        <v>60</v>
      </c>
      <c r="C27" s="32" t="s">
        <v>34</v>
      </c>
      <c r="D27" s="44" t="s">
        <v>61</v>
      </c>
      <c r="F27" s="42">
        <f>SUM('Virkamies 1:Virkamies 10'!E84)</f>
        <v>0</v>
      </c>
    </row>
    <row r="28" spans="1:7">
      <c r="F28" s="44"/>
    </row>
    <row r="29" spans="1:7" ht="15.75">
      <c r="A29" s="49" t="s">
        <v>62</v>
      </c>
      <c r="F29" s="44"/>
    </row>
    <row r="30" spans="1:7">
      <c r="A30" s="73"/>
      <c r="F30" s="44"/>
    </row>
    <row r="31" spans="1:7" ht="15.75">
      <c r="A31" s="50"/>
      <c r="B31" s="50" t="s">
        <v>63</v>
      </c>
      <c r="C31" s="32" t="s">
        <v>34</v>
      </c>
      <c r="D31" s="44" t="s">
        <v>64</v>
      </c>
      <c r="F31" s="42">
        <f>SUM('Virkamies 1:Virkamies 10'!I54)</f>
        <v>0</v>
      </c>
    </row>
    <row r="32" spans="1:7">
      <c r="F32" s="44"/>
    </row>
    <row r="34" spans="1:8" ht="14.25">
      <c r="A34" s="33" t="s">
        <v>171</v>
      </c>
      <c r="B34" s="33"/>
    </row>
    <row r="35" spans="1:8">
      <c r="A35" s="33" t="s">
        <v>172</v>
      </c>
      <c r="B35" s="33"/>
    </row>
    <row r="36" spans="1:8" ht="14.25">
      <c r="A36" s="33" t="s">
        <v>173</v>
      </c>
      <c r="B36" s="33"/>
      <c r="H36" s="47"/>
    </row>
    <row r="37" spans="1:8">
      <c r="A37" s="33" t="s">
        <v>65</v>
      </c>
      <c r="B37" s="33"/>
    </row>
    <row r="38" spans="1:8">
      <c r="A38" s="33" t="s">
        <v>66</v>
      </c>
      <c r="B38" s="33"/>
    </row>
    <row r="40" spans="1:8">
      <c r="A40" s="33"/>
    </row>
    <row r="41" spans="1:8">
      <c r="A41" s="33"/>
      <c r="F41" s="47"/>
    </row>
    <row r="43" spans="1:8">
      <c r="F43" s="47"/>
    </row>
  </sheetData>
  <phoneticPr fontId="0" type="noConversion"/>
  <pageMargins left="0.75" right="0.75" top="1" bottom="1" header="0.4921259845" footer="0.4921259845"/>
  <pageSetup paperSize="9" scale="89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1A41-ABA2-417C-B6A5-1BD550133750}">
  <dimension ref="B1:N114"/>
  <sheetViews>
    <sheetView workbookViewId="0"/>
  </sheetViews>
  <sheetFormatPr defaultRowHeight="12.75"/>
  <cols>
    <col min="2" max="2" width="8.85546875" bestFit="1" customWidth="1"/>
    <col min="7" max="7" width="12" customWidth="1"/>
    <col min="9" max="9" width="10.5703125" bestFit="1" customWidth="1"/>
    <col min="10" max="10" width="11.42578125" customWidth="1"/>
    <col min="12" max="12" width="13.7109375" bestFit="1" customWidth="1"/>
  </cols>
  <sheetData>
    <row r="1" spans="2:13">
      <c r="B1" s="65">
        <v>45292</v>
      </c>
      <c r="D1" s="59"/>
    </row>
    <row r="2" spans="2:13">
      <c r="B2">
        <v>2024</v>
      </c>
      <c r="D2" s="60"/>
    </row>
    <row r="3" spans="2:13">
      <c r="B3" s="57"/>
      <c r="D3" s="60"/>
      <c r="G3" s="57" t="s">
        <v>67</v>
      </c>
    </row>
    <row r="4" spans="2:13">
      <c r="B4" s="57" t="s">
        <v>68</v>
      </c>
      <c r="C4" s="57" t="s">
        <v>69</v>
      </c>
      <c r="D4" s="57"/>
      <c r="F4" s="57" t="s">
        <v>68</v>
      </c>
      <c r="G4" s="57" t="s">
        <v>70</v>
      </c>
      <c r="H4" s="57" t="s">
        <v>71</v>
      </c>
      <c r="I4" s="57" t="s">
        <v>72</v>
      </c>
    </row>
    <row r="5" spans="2:13">
      <c r="B5">
        <v>18</v>
      </c>
      <c r="C5" s="4">
        <v>5.4245799999999997</v>
      </c>
      <c r="D5" s="4"/>
      <c r="F5">
        <v>18</v>
      </c>
      <c r="G5" s="4">
        <v>4.66669</v>
      </c>
      <c r="H5" s="4">
        <v>0.63212999999999997</v>
      </c>
      <c r="I5" s="4">
        <v>0.12575</v>
      </c>
      <c r="K5" s="4"/>
      <c r="L5" s="4"/>
      <c r="M5" s="4"/>
    </row>
    <row r="6" spans="2:13">
      <c r="B6">
        <v>19</v>
      </c>
      <c r="C6" s="4">
        <v>5.55816</v>
      </c>
      <c r="D6" s="4"/>
      <c r="F6">
        <v>19</v>
      </c>
      <c r="G6" s="4">
        <v>4.78592</v>
      </c>
      <c r="H6" s="4">
        <v>0.64266999999999996</v>
      </c>
      <c r="I6" s="4">
        <v>0.12956999999999999</v>
      </c>
      <c r="K6" s="4"/>
      <c r="L6" s="4"/>
      <c r="M6" s="4"/>
    </row>
    <row r="7" spans="2:13">
      <c r="B7">
        <v>20</v>
      </c>
      <c r="C7" s="4">
        <v>5.6825599999999996</v>
      </c>
      <c r="D7" s="4"/>
      <c r="F7">
        <v>20</v>
      </c>
      <c r="G7" s="4">
        <v>4.8949999999999996</v>
      </c>
      <c r="H7" s="4">
        <v>0.65317999999999998</v>
      </c>
      <c r="I7" s="4">
        <v>0.13436999999999999</v>
      </c>
      <c r="K7" s="4"/>
      <c r="L7" s="4"/>
      <c r="M7" s="4"/>
    </row>
    <row r="8" spans="2:13">
      <c r="B8">
        <v>21</v>
      </c>
      <c r="C8" s="4">
        <v>5.8091900000000001</v>
      </c>
      <c r="D8" s="4"/>
      <c r="F8">
        <v>21</v>
      </c>
      <c r="G8" s="4">
        <v>5.0062300000000004</v>
      </c>
      <c r="H8" s="4">
        <v>0.66361999999999999</v>
      </c>
      <c r="I8" s="4">
        <v>0.13933999999999999</v>
      </c>
      <c r="K8" s="4"/>
      <c r="L8" s="4"/>
      <c r="M8" s="4"/>
    </row>
    <row r="9" spans="2:13">
      <c r="B9">
        <v>22</v>
      </c>
      <c r="C9" s="4">
        <v>5.9518700000000004</v>
      </c>
      <c r="D9" s="4"/>
      <c r="F9">
        <v>22</v>
      </c>
      <c r="G9" s="4">
        <v>5.1343899999999998</v>
      </c>
      <c r="H9" s="4">
        <v>0.67396999999999996</v>
      </c>
      <c r="I9" s="4">
        <v>0.14351</v>
      </c>
      <c r="K9" s="4"/>
      <c r="L9" s="4"/>
      <c r="M9" s="4"/>
    </row>
    <row r="10" spans="2:13">
      <c r="B10">
        <v>23</v>
      </c>
      <c r="C10" s="4">
        <v>6.08446</v>
      </c>
      <c r="D10" s="4"/>
      <c r="F10">
        <v>23</v>
      </c>
      <c r="G10" s="4">
        <v>5.2515299999999998</v>
      </c>
      <c r="H10" s="4">
        <v>0.68418000000000001</v>
      </c>
      <c r="I10" s="4">
        <v>0.14874999999999999</v>
      </c>
      <c r="K10" s="4"/>
      <c r="L10" s="4"/>
      <c r="M10" s="4"/>
    </row>
    <row r="11" spans="2:13">
      <c r="B11">
        <v>24</v>
      </c>
      <c r="C11" s="4">
        <v>6.2254500000000004</v>
      </c>
      <c r="D11" s="4"/>
      <c r="F11">
        <v>24</v>
      </c>
      <c r="G11" s="4">
        <v>5.3682600000000003</v>
      </c>
      <c r="H11" s="4">
        <v>0.70245000000000002</v>
      </c>
      <c r="I11" s="4">
        <v>0.15473999999999999</v>
      </c>
      <c r="K11" s="4"/>
      <c r="L11" s="4"/>
      <c r="M11" s="4"/>
    </row>
    <row r="12" spans="2:13">
      <c r="B12">
        <v>25</v>
      </c>
      <c r="C12" s="4">
        <v>6.3773</v>
      </c>
      <c r="D12" s="4"/>
      <c r="F12">
        <v>25</v>
      </c>
      <c r="G12" s="4">
        <v>5.5056599999999998</v>
      </c>
      <c r="H12" s="4">
        <v>0.71242000000000005</v>
      </c>
      <c r="I12" s="4">
        <v>0.15922</v>
      </c>
      <c r="K12" s="4"/>
      <c r="L12" s="4"/>
      <c r="M12" s="4"/>
    </row>
    <row r="13" spans="2:13">
      <c r="B13">
        <v>26</v>
      </c>
      <c r="C13" s="4">
        <v>6.5185199999999996</v>
      </c>
      <c r="D13" s="4"/>
      <c r="F13">
        <v>26</v>
      </c>
      <c r="G13" s="4">
        <v>5.6315499999999998</v>
      </c>
      <c r="H13" s="4">
        <v>0.72214999999999996</v>
      </c>
      <c r="I13" s="4">
        <v>0.16481999999999999</v>
      </c>
      <c r="K13" s="4"/>
      <c r="L13" s="4"/>
      <c r="M13" s="4"/>
    </row>
    <row r="14" spans="2:13">
      <c r="B14">
        <v>27</v>
      </c>
      <c r="C14" s="4">
        <v>6.6620299999999997</v>
      </c>
      <c r="D14" s="4"/>
      <c r="F14">
        <v>27</v>
      </c>
      <c r="G14" s="4">
        <v>5.7599600000000004</v>
      </c>
      <c r="H14" s="4">
        <v>0.73155000000000003</v>
      </c>
      <c r="I14" s="4">
        <v>0.17050999999999999</v>
      </c>
      <c r="K14" s="4"/>
      <c r="L14" s="4"/>
      <c r="M14" s="4"/>
    </row>
    <row r="15" spans="2:13">
      <c r="B15">
        <v>28</v>
      </c>
      <c r="C15" s="4">
        <v>6.8312200000000001</v>
      </c>
      <c r="D15" s="4"/>
      <c r="F15">
        <v>28</v>
      </c>
      <c r="G15" s="4">
        <v>5.9144600000000001</v>
      </c>
      <c r="H15" s="4">
        <v>0.74141999999999997</v>
      </c>
      <c r="I15" s="4">
        <v>0.17534</v>
      </c>
      <c r="K15" s="4"/>
      <c r="L15" s="4"/>
      <c r="M15" s="4"/>
    </row>
    <row r="16" spans="2:13">
      <c r="B16">
        <v>29</v>
      </c>
      <c r="C16" s="4">
        <v>6.9811500000000004</v>
      </c>
      <c r="D16" s="4"/>
      <c r="F16">
        <v>29</v>
      </c>
      <c r="G16" s="4">
        <v>6.0499700000000001</v>
      </c>
      <c r="H16" s="4">
        <v>0.75002000000000002</v>
      </c>
      <c r="I16" s="4">
        <v>0.18115999999999999</v>
      </c>
      <c r="K16" s="4"/>
      <c r="L16" s="4"/>
      <c r="M16" s="4"/>
    </row>
    <row r="17" spans="2:13">
      <c r="B17">
        <v>30</v>
      </c>
      <c r="C17" s="4">
        <v>7.1333599999999997</v>
      </c>
      <c r="D17" s="4"/>
      <c r="F17">
        <v>30</v>
      </c>
      <c r="G17" s="4">
        <v>6.1882200000000003</v>
      </c>
      <c r="H17" s="4">
        <v>0.75810999999999995</v>
      </c>
      <c r="I17" s="4">
        <v>0.18703</v>
      </c>
      <c r="K17" s="4"/>
      <c r="L17" s="4"/>
      <c r="M17" s="4"/>
    </row>
    <row r="18" spans="2:13">
      <c r="B18">
        <v>31</v>
      </c>
      <c r="C18" s="4">
        <v>7.3125400000000003</v>
      </c>
      <c r="D18" s="4"/>
      <c r="F18">
        <v>31</v>
      </c>
      <c r="G18" s="4">
        <v>6.3541499999999997</v>
      </c>
      <c r="H18" s="4">
        <v>0.76646999999999998</v>
      </c>
      <c r="I18" s="4">
        <v>0.19192999999999999</v>
      </c>
      <c r="K18" s="4"/>
      <c r="L18" s="4"/>
      <c r="M18" s="4"/>
    </row>
    <row r="19" spans="2:13">
      <c r="B19">
        <v>32</v>
      </c>
      <c r="C19" s="4">
        <v>7.4701199999999996</v>
      </c>
      <c r="D19" s="4"/>
      <c r="F19">
        <v>32</v>
      </c>
      <c r="G19" s="4">
        <v>6.4989600000000003</v>
      </c>
      <c r="H19" s="4">
        <v>0.77329000000000003</v>
      </c>
      <c r="I19" s="4">
        <v>0.19786999999999999</v>
      </c>
      <c r="K19" s="4"/>
      <c r="L19" s="4"/>
      <c r="M19" s="4"/>
    </row>
    <row r="20" spans="2:13">
      <c r="B20">
        <v>33</v>
      </c>
      <c r="C20" s="4">
        <v>7.6384100000000004</v>
      </c>
      <c r="D20" s="4"/>
      <c r="F20">
        <v>33</v>
      </c>
      <c r="G20" s="4">
        <v>6.6541399999999999</v>
      </c>
      <c r="H20" s="4">
        <v>0.78020999999999996</v>
      </c>
      <c r="I20" s="4">
        <v>0.20405999999999999</v>
      </c>
      <c r="K20" s="4"/>
      <c r="L20" s="4"/>
      <c r="M20" s="4"/>
    </row>
    <row r="21" spans="2:13">
      <c r="B21">
        <v>34</v>
      </c>
      <c r="C21" s="4">
        <v>7.8284799999999999</v>
      </c>
      <c r="D21" s="4"/>
      <c r="F21">
        <v>34</v>
      </c>
      <c r="G21" s="4">
        <v>6.8332600000000001</v>
      </c>
      <c r="H21" s="4">
        <v>0.78625999999999996</v>
      </c>
      <c r="I21" s="4">
        <v>0.20896000000000001</v>
      </c>
      <c r="K21" s="4"/>
      <c r="L21" s="4"/>
      <c r="M21" s="4"/>
    </row>
    <row r="22" spans="2:13">
      <c r="B22">
        <v>35</v>
      </c>
      <c r="C22" s="4">
        <v>7.9957000000000003</v>
      </c>
      <c r="D22" s="4"/>
      <c r="F22">
        <v>35</v>
      </c>
      <c r="G22" s="4">
        <v>6.9903000000000004</v>
      </c>
      <c r="H22" s="4">
        <v>0.79044000000000003</v>
      </c>
      <c r="I22" s="4">
        <v>0.21496000000000001</v>
      </c>
      <c r="K22" s="4"/>
      <c r="L22" s="4"/>
      <c r="M22" s="4"/>
    </row>
    <row r="23" spans="2:13">
      <c r="B23">
        <v>36</v>
      </c>
      <c r="C23" s="4">
        <v>8.17943</v>
      </c>
      <c r="D23" s="4"/>
      <c r="F23">
        <v>36</v>
      </c>
      <c r="G23" s="4">
        <v>7.1735199999999999</v>
      </c>
      <c r="H23" s="4">
        <v>0.7853</v>
      </c>
      <c r="I23" s="4">
        <v>0.22061</v>
      </c>
      <c r="K23" s="4"/>
      <c r="L23" s="4"/>
      <c r="M23" s="4"/>
    </row>
    <row r="24" spans="2:13">
      <c r="B24">
        <v>37</v>
      </c>
      <c r="C24" s="4">
        <v>8.3712900000000001</v>
      </c>
      <c r="D24" s="4"/>
      <c r="F24">
        <v>37</v>
      </c>
      <c r="G24" s="4">
        <v>7.35907</v>
      </c>
      <c r="H24" s="4">
        <v>0.78698000000000001</v>
      </c>
      <c r="I24" s="4">
        <v>0.22524</v>
      </c>
      <c r="K24" s="4"/>
      <c r="L24" s="4"/>
      <c r="M24" s="4"/>
    </row>
    <row r="25" spans="2:13">
      <c r="B25">
        <v>38</v>
      </c>
      <c r="C25" s="4">
        <v>8.5570599999999999</v>
      </c>
      <c r="D25" s="4"/>
      <c r="F25">
        <v>38</v>
      </c>
      <c r="G25" s="4">
        <v>7.5373900000000003</v>
      </c>
      <c r="H25" s="4">
        <v>0.78813999999999995</v>
      </c>
      <c r="I25" s="4">
        <v>0.23154</v>
      </c>
      <c r="K25" s="4"/>
      <c r="L25" s="4"/>
      <c r="M25" s="4"/>
    </row>
    <row r="26" spans="2:13">
      <c r="B26">
        <v>39</v>
      </c>
      <c r="C26" s="4">
        <v>8.7454099999999997</v>
      </c>
      <c r="D26" s="4"/>
      <c r="F26">
        <v>39</v>
      </c>
      <c r="G26" s="4">
        <v>7.7198000000000002</v>
      </c>
      <c r="H26" s="4">
        <v>0.78773000000000004</v>
      </c>
      <c r="I26" s="4">
        <v>0.23788999999999999</v>
      </c>
      <c r="K26" s="4"/>
      <c r="L26" s="4"/>
      <c r="M26" s="4"/>
    </row>
    <row r="27" spans="2:13">
      <c r="B27">
        <v>40</v>
      </c>
      <c r="C27" s="4">
        <v>8.9580199999999994</v>
      </c>
      <c r="D27" s="4"/>
      <c r="F27">
        <v>40</v>
      </c>
      <c r="G27" s="4">
        <v>7.9296300000000004</v>
      </c>
      <c r="H27" s="4">
        <v>0.78561000000000003</v>
      </c>
      <c r="I27" s="4">
        <v>0.24277000000000001</v>
      </c>
      <c r="K27" s="4"/>
      <c r="L27" s="4"/>
      <c r="M27" s="4"/>
    </row>
    <row r="28" spans="2:13">
      <c r="B28">
        <v>41</v>
      </c>
      <c r="C28" s="4">
        <v>9.1539099999999998</v>
      </c>
      <c r="D28" s="4"/>
      <c r="F28">
        <v>41</v>
      </c>
      <c r="G28" s="4">
        <v>8.1231299999999997</v>
      </c>
      <c r="H28" s="4">
        <v>0.78158000000000005</v>
      </c>
      <c r="I28" s="4">
        <v>0.2492</v>
      </c>
      <c r="K28" s="4"/>
      <c r="L28" s="4"/>
      <c r="M28" s="4"/>
    </row>
    <row r="29" spans="2:13">
      <c r="B29">
        <v>42</v>
      </c>
      <c r="C29" s="4">
        <v>9.3523999999999994</v>
      </c>
      <c r="D29" s="4"/>
      <c r="F29">
        <v>42</v>
      </c>
      <c r="G29" s="4">
        <v>8.3212700000000002</v>
      </c>
      <c r="H29" s="4">
        <v>0.77546000000000004</v>
      </c>
      <c r="I29" s="4">
        <v>0.25567000000000001</v>
      </c>
      <c r="K29" s="4"/>
      <c r="L29" s="4"/>
      <c r="M29" s="4"/>
    </row>
    <row r="30" spans="2:13">
      <c r="B30">
        <v>43</v>
      </c>
      <c r="C30" s="4">
        <v>9.5762499999999999</v>
      </c>
      <c r="D30" s="4"/>
      <c r="F30">
        <v>43</v>
      </c>
      <c r="G30" s="4">
        <v>8.5485699999999998</v>
      </c>
      <c r="H30" s="4">
        <v>0.76705999999999996</v>
      </c>
      <c r="I30" s="4">
        <v>0.26062999999999997</v>
      </c>
      <c r="K30" s="4"/>
      <c r="L30" s="4"/>
      <c r="M30" s="4"/>
    </row>
    <row r="31" spans="2:13">
      <c r="B31">
        <v>44</v>
      </c>
      <c r="C31" s="4">
        <v>9.7890300000000003</v>
      </c>
      <c r="D31" s="4"/>
      <c r="F31">
        <v>44</v>
      </c>
      <c r="G31" s="4">
        <v>8.7761999999999993</v>
      </c>
      <c r="H31" s="4">
        <v>0.74636000000000002</v>
      </c>
      <c r="I31" s="4">
        <v>0.26645999999999997</v>
      </c>
      <c r="K31" s="4"/>
      <c r="L31" s="4"/>
      <c r="M31" s="4"/>
    </row>
    <row r="32" spans="2:13">
      <c r="B32">
        <v>45</v>
      </c>
      <c r="C32" s="4">
        <v>9.9969599999999996</v>
      </c>
      <c r="D32" s="4"/>
      <c r="F32">
        <v>45</v>
      </c>
      <c r="G32" s="4">
        <v>8.9911700000000003</v>
      </c>
      <c r="H32" s="4">
        <v>0.73272000000000004</v>
      </c>
      <c r="I32" s="4">
        <v>0.27306999999999998</v>
      </c>
      <c r="K32" s="4"/>
      <c r="L32" s="4"/>
      <c r="M32" s="4"/>
    </row>
    <row r="33" spans="2:14">
      <c r="B33">
        <v>46</v>
      </c>
      <c r="C33" s="4">
        <v>10.245100000000001</v>
      </c>
      <c r="D33" s="4"/>
      <c r="F33">
        <v>46</v>
      </c>
      <c r="G33" s="4">
        <v>9.2497399999999992</v>
      </c>
      <c r="H33" s="4">
        <v>0.71697999999999995</v>
      </c>
      <c r="I33" s="4">
        <v>0.27838000000000002</v>
      </c>
      <c r="K33" s="4"/>
      <c r="L33" s="4"/>
      <c r="M33" s="4"/>
    </row>
    <row r="34" spans="2:14">
      <c r="B34">
        <v>47</v>
      </c>
      <c r="C34" s="4">
        <v>10.46166</v>
      </c>
      <c r="D34" s="4"/>
      <c r="F34">
        <v>47</v>
      </c>
      <c r="G34" s="4">
        <v>9.4792400000000008</v>
      </c>
      <c r="H34" s="4">
        <v>0.69735000000000003</v>
      </c>
      <c r="I34" s="4">
        <v>0.28506999999999999</v>
      </c>
      <c r="K34" s="4"/>
      <c r="L34" s="4"/>
      <c r="M34" s="4"/>
    </row>
    <row r="35" spans="2:14">
      <c r="B35">
        <v>48</v>
      </c>
      <c r="C35" s="4">
        <v>10.69229</v>
      </c>
      <c r="D35" s="4"/>
      <c r="F35">
        <v>48</v>
      </c>
      <c r="G35" s="4">
        <v>9.7366299999999999</v>
      </c>
      <c r="H35" s="4">
        <v>0.66466000000000003</v>
      </c>
      <c r="I35" s="4">
        <v>0.29099999999999998</v>
      </c>
      <c r="K35" s="4"/>
      <c r="L35" s="4"/>
      <c r="M35" s="4"/>
    </row>
    <row r="36" spans="2:14">
      <c r="B36">
        <v>49</v>
      </c>
      <c r="C36" s="4">
        <v>10.94322</v>
      </c>
      <c r="D36" s="4"/>
      <c r="F36">
        <v>49</v>
      </c>
      <c r="G36" s="4">
        <v>10.008839999999999</v>
      </c>
      <c r="H36" s="4">
        <v>0.63836000000000004</v>
      </c>
      <c r="I36" s="4">
        <v>0.29602000000000001</v>
      </c>
      <c r="K36" s="4"/>
      <c r="L36" s="4"/>
      <c r="M36" s="4"/>
    </row>
    <row r="37" spans="2:14">
      <c r="B37">
        <v>50</v>
      </c>
      <c r="C37" s="4">
        <v>11.46097</v>
      </c>
      <c r="D37" s="4"/>
      <c r="F37">
        <v>50</v>
      </c>
      <c r="G37" s="4">
        <v>10.27224</v>
      </c>
      <c r="H37" s="4">
        <v>0.60914000000000001</v>
      </c>
      <c r="I37" s="4">
        <v>0.57959000000000005</v>
      </c>
      <c r="K37" s="4"/>
      <c r="L37" s="4"/>
      <c r="M37" s="4"/>
    </row>
    <row r="38" spans="2:14">
      <c r="B38">
        <v>51</v>
      </c>
      <c r="C38" s="4">
        <v>11.69807</v>
      </c>
      <c r="D38" s="4"/>
      <c r="F38">
        <v>51</v>
      </c>
      <c r="G38" s="4">
        <v>10.53368</v>
      </c>
      <c r="H38" s="4">
        <v>0.57559000000000005</v>
      </c>
      <c r="I38" s="4">
        <v>0.58879999999999999</v>
      </c>
      <c r="K38" s="4"/>
      <c r="L38" s="4"/>
      <c r="M38" s="4"/>
    </row>
    <row r="39" spans="2:14">
      <c r="B39">
        <v>52</v>
      </c>
      <c r="C39" s="4">
        <v>11.992889999999999</v>
      </c>
      <c r="D39" s="4"/>
      <c r="F39">
        <v>52</v>
      </c>
      <c r="G39" s="4">
        <v>10.86923</v>
      </c>
      <c r="H39" s="4">
        <v>0.52964999999999995</v>
      </c>
      <c r="I39" s="4">
        <v>0.59401000000000004</v>
      </c>
      <c r="K39" s="4"/>
      <c r="L39" s="4"/>
      <c r="M39" s="4"/>
    </row>
    <row r="40" spans="2:14">
      <c r="B40">
        <v>53</v>
      </c>
      <c r="C40" s="4">
        <v>12.243320000000001</v>
      </c>
      <c r="D40" s="4"/>
      <c r="F40">
        <v>53</v>
      </c>
      <c r="G40" s="4">
        <v>11.152200000000001</v>
      </c>
      <c r="H40" s="4">
        <v>0.48891000000000001</v>
      </c>
      <c r="I40" s="4">
        <v>0.60221999999999998</v>
      </c>
      <c r="K40" s="4"/>
      <c r="L40" s="4"/>
      <c r="M40" s="4"/>
    </row>
    <row r="41" spans="2:14">
      <c r="B41">
        <v>54</v>
      </c>
      <c r="C41" s="4">
        <v>12.51234</v>
      </c>
      <c r="D41" s="4"/>
      <c r="F41">
        <v>54</v>
      </c>
      <c r="G41" s="4">
        <v>11.456720000000001</v>
      </c>
      <c r="H41" s="4">
        <v>0.44517000000000001</v>
      </c>
      <c r="I41" s="4">
        <v>0.61045000000000005</v>
      </c>
      <c r="K41" s="4"/>
      <c r="L41" s="4"/>
      <c r="M41" s="4"/>
    </row>
    <row r="42" spans="2:14">
      <c r="B42">
        <v>55</v>
      </c>
      <c r="C42" s="4">
        <v>12.81968</v>
      </c>
      <c r="D42" s="4"/>
      <c r="F42">
        <v>55</v>
      </c>
      <c r="G42" s="4">
        <v>11.81715</v>
      </c>
      <c r="H42" s="4">
        <v>0.38933000000000001</v>
      </c>
      <c r="I42" s="4">
        <v>0.61319000000000001</v>
      </c>
      <c r="K42" s="4"/>
      <c r="L42" s="4"/>
      <c r="M42" s="4"/>
    </row>
    <row r="43" spans="2:14">
      <c r="B43">
        <v>56</v>
      </c>
      <c r="C43" s="4">
        <v>13.12284</v>
      </c>
      <c r="D43" s="4"/>
      <c r="F43">
        <v>56</v>
      </c>
      <c r="G43" s="4">
        <v>12.172510000000001</v>
      </c>
      <c r="H43" s="4">
        <v>0.33202999999999999</v>
      </c>
      <c r="I43" s="4">
        <v>0.61829000000000001</v>
      </c>
      <c r="K43" s="4"/>
      <c r="L43" s="4"/>
      <c r="M43" s="4"/>
    </row>
    <row r="44" spans="2:14">
      <c r="B44">
        <v>57</v>
      </c>
      <c r="C44" s="4">
        <v>13.46725</v>
      </c>
      <c r="D44" s="4"/>
      <c r="F44">
        <v>57</v>
      </c>
      <c r="G44" s="4">
        <v>12.56916</v>
      </c>
      <c r="H44" s="4">
        <v>0.27424999999999999</v>
      </c>
      <c r="I44" s="4">
        <v>0.62383999999999995</v>
      </c>
      <c r="K44" s="4"/>
      <c r="L44" s="4"/>
      <c r="M44" s="4"/>
    </row>
    <row r="45" spans="2:14">
      <c r="B45">
        <v>58</v>
      </c>
      <c r="C45" s="4">
        <v>13.891500000000001</v>
      </c>
      <c r="D45" s="4"/>
      <c r="F45">
        <v>58</v>
      </c>
      <c r="G45" s="4">
        <v>13.04731</v>
      </c>
      <c r="H45" s="4">
        <v>0.21682000000000001</v>
      </c>
      <c r="I45" s="4">
        <v>0.62736000000000003</v>
      </c>
      <c r="K45" s="4"/>
      <c r="L45" s="4"/>
      <c r="M45" s="4"/>
    </row>
    <row r="46" spans="2:14">
      <c r="B46">
        <v>59</v>
      </c>
      <c r="C46" s="4">
        <v>14.224309999999999</v>
      </c>
      <c r="D46" s="4"/>
      <c r="F46">
        <v>59</v>
      </c>
      <c r="G46" s="4">
        <v>13.42731</v>
      </c>
      <c r="H46" s="4">
        <v>0.16572999999999999</v>
      </c>
      <c r="I46" s="4">
        <v>0.63126000000000004</v>
      </c>
      <c r="K46" s="4"/>
      <c r="L46" s="4"/>
      <c r="M46" s="4"/>
    </row>
    <row r="47" spans="2:14">
      <c r="B47">
        <v>60</v>
      </c>
      <c r="C47" s="4">
        <v>14.52821</v>
      </c>
      <c r="D47" s="4"/>
      <c r="F47">
        <v>60</v>
      </c>
      <c r="G47" s="4">
        <v>13.7799</v>
      </c>
      <c r="H47" s="4">
        <v>0.11637</v>
      </c>
      <c r="I47" s="4">
        <v>0.63195000000000001</v>
      </c>
      <c r="K47" s="4"/>
      <c r="L47" s="4"/>
      <c r="M47" s="4"/>
      <c r="N47" s="4"/>
    </row>
    <row r="48" spans="2:14">
      <c r="B48">
        <v>61</v>
      </c>
      <c r="C48" s="4">
        <v>14.842879999999999</v>
      </c>
      <c r="D48" s="4"/>
      <c r="F48">
        <v>61</v>
      </c>
      <c r="G48" s="4">
        <v>14.13707</v>
      </c>
      <c r="H48" s="4">
        <v>7.5639999999999999E-2</v>
      </c>
      <c r="I48" s="4">
        <v>0.63017000000000001</v>
      </c>
      <c r="K48" s="4"/>
      <c r="L48" s="4"/>
      <c r="M48" s="4"/>
      <c r="N48" s="4"/>
    </row>
    <row r="49" spans="2:14">
      <c r="B49">
        <v>62</v>
      </c>
      <c r="C49" s="4">
        <v>15.14062</v>
      </c>
      <c r="D49" s="4"/>
      <c r="F49">
        <v>62</v>
      </c>
      <c r="G49" s="4">
        <v>14.471019999999999</v>
      </c>
      <c r="H49" s="4">
        <v>4.045E-2</v>
      </c>
      <c r="I49" s="4">
        <v>0.62916000000000005</v>
      </c>
      <c r="K49" s="4"/>
      <c r="L49" s="4"/>
      <c r="M49" s="4"/>
      <c r="N49" s="9"/>
    </row>
    <row r="50" spans="2:14">
      <c r="B50">
        <v>63</v>
      </c>
      <c r="C50" s="4">
        <v>15.59517</v>
      </c>
      <c r="D50" s="4"/>
      <c r="F50">
        <v>63</v>
      </c>
      <c r="G50" s="4">
        <v>14.96312</v>
      </c>
      <c r="H50" s="4">
        <v>8.9200000000000008E-3</v>
      </c>
      <c r="I50" s="4">
        <v>0.62312999999999996</v>
      </c>
      <c r="K50" s="4"/>
      <c r="L50" s="4"/>
      <c r="M50" s="4"/>
      <c r="N50" s="9"/>
    </row>
    <row r="51" spans="2:14">
      <c r="B51">
        <v>64</v>
      </c>
      <c r="C51" s="4">
        <v>16.226220000000001</v>
      </c>
      <c r="D51" s="4"/>
      <c r="F51">
        <v>64</v>
      </c>
      <c r="G51" s="4">
        <v>15.60867</v>
      </c>
      <c r="H51" s="4">
        <v>6.4000000000000005E-4</v>
      </c>
      <c r="I51" s="4">
        <v>0.61690999999999996</v>
      </c>
      <c r="K51" s="4"/>
      <c r="L51" s="4"/>
      <c r="M51" s="4"/>
    </row>
    <row r="52" spans="2:14">
      <c r="B52">
        <v>65</v>
      </c>
      <c r="C52" s="4">
        <v>16.239519999999999</v>
      </c>
      <c r="D52" s="4"/>
      <c r="F52">
        <v>65</v>
      </c>
      <c r="G52" s="4">
        <v>15.624739999999999</v>
      </c>
      <c r="H52" s="4">
        <v>0</v>
      </c>
      <c r="I52" s="4">
        <v>0.61478999999999995</v>
      </c>
      <c r="K52" s="4"/>
      <c r="L52" s="4"/>
      <c r="M52" s="4"/>
    </row>
    <row r="53" spans="2:14">
      <c r="B53">
        <v>66</v>
      </c>
      <c r="C53" s="4">
        <v>15.85181</v>
      </c>
      <c r="D53" s="4"/>
      <c r="F53">
        <v>66</v>
      </c>
      <c r="G53" s="4">
        <v>15.23827</v>
      </c>
      <c r="H53" s="4">
        <v>0</v>
      </c>
      <c r="I53" s="4">
        <v>0.61353999999999997</v>
      </c>
      <c r="K53" s="4"/>
      <c r="L53" s="4"/>
      <c r="M53" s="4"/>
    </row>
    <row r="54" spans="2:14">
      <c r="B54">
        <v>67</v>
      </c>
      <c r="C54" s="4">
        <v>15.473470000000001</v>
      </c>
      <c r="D54" s="4"/>
      <c r="F54">
        <v>67</v>
      </c>
      <c r="G54" s="4">
        <v>14.86552</v>
      </c>
      <c r="H54" s="4">
        <v>0</v>
      </c>
      <c r="I54" s="4">
        <v>0.60794999999999999</v>
      </c>
      <c r="K54" s="4"/>
      <c r="L54" s="4"/>
      <c r="M54" s="4"/>
    </row>
    <row r="55" spans="2:14">
      <c r="B55">
        <v>68</v>
      </c>
      <c r="C55" s="4">
        <v>15.05855</v>
      </c>
      <c r="D55" s="4"/>
      <c r="F55">
        <v>68</v>
      </c>
      <c r="G55" s="4">
        <v>14.45609</v>
      </c>
      <c r="H55" s="4">
        <v>0</v>
      </c>
      <c r="I55" s="4">
        <v>0.60246999999999995</v>
      </c>
      <c r="K55" s="4"/>
      <c r="L55" s="4"/>
      <c r="M55" s="4"/>
    </row>
    <row r="56" spans="2:14">
      <c r="B56">
        <v>69</v>
      </c>
      <c r="C56" s="4">
        <v>14.61256</v>
      </c>
      <c r="D56" s="4"/>
      <c r="F56">
        <v>69</v>
      </c>
      <c r="G56" s="4">
        <v>14.018549999999999</v>
      </c>
      <c r="H56" s="4">
        <v>0</v>
      </c>
      <c r="I56" s="4">
        <v>0.59401000000000004</v>
      </c>
      <c r="K56" s="4"/>
      <c r="L56" s="4"/>
      <c r="M56" s="4"/>
    </row>
    <row r="57" spans="2:14">
      <c r="B57">
        <v>70</v>
      </c>
      <c r="C57" s="4">
        <v>14.22531</v>
      </c>
      <c r="D57" s="4"/>
      <c r="F57">
        <v>70</v>
      </c>
      <c r="G57" s="4">
        <v>13.64128</v>
      </c>
      <c r="H57" s="4">
        <v>0</v>
      </c>
      <c r="I57" s="4">
        <v>0.58403000000000005</v>
      </c>
      <c r="K57" s="4"/>
      <c r="L57" s="4"/>
      <c r="M57" s="4"/>
    </row>
    <row r="59" spans="2:14">
      <c r="B59" s="57"/>
    </row>
    <row r="60" spans="2:14">
      <c r="C60" s="57" t="s">
        <v>73</v>
      </c>
      <c r="D60" s="57" t="s">
        <v>74</v>
      </c>
    </row>
    <row r="61" spans="2:14">
      <c r="B61" s="57" t="s">
        <v>68</v>
      </c>
      <c r="C61" s="57" t="s">
        <v>70</v>
      </c>
      <c r="D61" s="57" t="s">
        <v>72</v>
      </c>
      <c r="E61" s="57" t="s">
        <v>72</v>
      </c>
    </row>
    <row r="62" spans="2:14">
      <c r="B62">
        <v>18</v>
      </c>
      <c r="C62" s="4">
        <v>6.0488900000000001</v>
      </c>
      <c r="D62" s="61">
        <v>0.81706999999999996</v>
      </c>
      <c r="E62" s="4">
        <v>3.1449999999999999E-2</v>
      </c>
      <c r="G62" s="4"/>
      <c r="H62" s="4"/>
      <c r="I62" s="4"/>
    </row>
    <row r="63" spans="2:14">
      <c r="B63">
        <v>19</v>
      </c>
      <c r="C63" s="4">
        <v>6.1899600000000001</v>
      </c>
      <c r="D63" s="61">
        <v>0.83987000000000001</v>
      </c>
      <c r="E63" s="4">
        <v>3.243E-2</v>
      </c>
      <c r="G63" s="4"/>
      <c r="H63" s="4"/>
      <c r="I63" s="4"/>
    </row>
    <row r="64" spans="2:14">
      <c r="B64">
        <v>20</v>
      </c>
      <c r="C64" s="4">
        <v>6.3191199999999998</v>
      </c>
      <c r="D64" s="61">
        <v>0.86799999999999999</v>
      </c>
      <c r="E64" s="4">
        <v>3.372E-2</v>
      </c>
      <c r="G64" s="4"/>
      <c r="H64" s="4"/>
      <c r="I64" s="4"/>
    </row>
    <row r="65" spans="2:9">
      <c r="B65">
        <v>21</v>
      </c>
      <c r="C65" s="4">
        <v>6.4503399999999997</v>
      </c>
      <c r="D65" s="61">
        <v>0.89695000000000003</v>
      </c>
      <c r="E65" s="4">
        <v>3.5029999999999999E-2</v>
      </c>
      <c r="G65" s="4"/>
      <c r="H65" s="4"/>
      <c r="I65" s="4"/>
    </row>
    <row r="66" spans="2:9">
      <c r="B66">
        <v>22</v>
      </c>
      <c r="C66" s="4">
        <v>6.6003999999999996</v>
      </c>
      <c r="D66" s="61">
        <v>0.92168000000000005</v>
      </c>
      <c r="E66" s="4">
        <v>3.6040000000000003E-2</v>
      </c>
      <c r="G66" s="4"/>
      <c r="H66" s="4"/>
      <c r="I66" s="4"/>
    </row>
    <row r="67" spans="2:9">
      <c r="B67">
        <v>23</v>
      </c>
      <c r="C67" s="4">
        <v>6.7374700000000001</v>
      </c>
      <c r="D67" s="61">
        <v>0.95201000000000002</v>
      </c>
      <c r="E67" s="4">
        <v>3.7350000000000001E-2</v>
      </c>
      <c r="G67" s="4"/>
      <c r="H67" s="4"/>
      <c r="I67" s="4"/>
    </row>
    <row r="68" spans="2:9">
      <c r="B68">
        <v>24</v>
      </c>
      <c r="C68" s="4">
        <v>6.8595600000000001</v>
      </c>
      <c r="D68" s="61">
        <v>0.98355999999999999</v>
      </c>
      <c r="E68" s="4">
        <v>3.8649999999999997E-2</v>
      </c>
      <c r="G68" s="4"/>
      <c r="H68" s="4"/>
      <c r="I68" s="4"/>
    </row>
    <row r="69" spans="2:9">
      <c r="B69">
        <v>25</v>
      </c>
      <c r="C69" s="4">
        <v>7.0181500000000003</v>
      </c>
      <c r="D69" s="61">
        <v>1.00966</v>
      </c>
      <c r="E69" s="4">
        <v>3.952E-2</v>
      </c>
      <c r="G69" s="4"/>
      <c r="H69" s="4"/>
      <c r="I69" s="4"/>
    </row>
    <row r="70" spans="2:9">
      <c r="B70">
        <v>26</v>
      </c>
      <c r="C70" s="4">
        <v>7.1631299999999998</v>
      </c>
      <c r="D70" s="61">
        <v>1.0415099999999999</v>
      </c>
      <c r="E70" s="4">
        <v>4.0620000000000003E-2</v>
      </c>
      <c r="G70" s="4"/>
      <c r="H70" s="4"/>
      <c r="I70" s="4"/>
    </row>
    <row r="71" spans="2:9">
      <c r="B71">
        <v>27</v>
      </c>
      <c r="C71" s="4">
        <v>7.31027</v>
      </c>
      <c r="D71" s="61">
        <v>1.0737399999999999</v>
      </c>
      <c r="E71" s="4">
        <v>4.1619999999999997E-2</v>
      </c>
      <c r="G71" s="4"/>
      <c r="H71" s="4"/>
      <c r="I71" s="4"/>
    </row>
    <row r="72" spans="2:9">
      <c r="B72">
        <v>28</v>
      </c>
      <c r="C72" s="4">
        <v>7.4785199999999996</v>
      </c>
      <c r="D72" s="61">
        <v>1.1004</v>
      </c>
      <c r="E72" s="4">
        <v>4.2110000000000002E-2</v>
      </c>
      <c r="G72" s="4"/>
      <c r="H72" s="4"/>
      <c r="I72" s="4"/>
    </row>
    <row r="73" spans="2:9">
      <c r="B73">
        <v>29</v>
      </c>
      <c r="C73" s="4">
        <v>7.6318599999999996</v>
      </c>
      <c r="D73" s="61">
        <v>1.1329899999999999</v>
      </c>
      <c r="E73" s="4">
        <v>4.2759999999999999E-2</v>
      </c>
      <c r="G73" s="4"/>
      <c r="H73" s="4"/>
      <c r="I73" s="4"/>
    </row>
    <row r="74" spans="2:9">
      <c r="B74">
        <v>30</v>
      </c>
      <c r="C74" s="4">
        <v>7.7873599999999996</v>
      </c>
      <c r="D74" s="61">
        <v>1.1657299999999999</v>
      </c>
      <c r="E74" s="4">
        <v>4.3209999999999998E-2</v>
      </c>
      <c r="G74" s="4"/>
      <c r="H74" s="4"/>
      <c r="I74" s="4"/>
    </row>
    <row r="75" spans="2:9">
      <c r="B75">
        <v>31</v>
      </c>
      <c r="C75" s="4">
        <v>7.9648899999999996</v>
      </c>
      <c r="D75" s="61">
        <v>1.19231</v>
      </c>
      <c r="E75" s="4">
        <v>4.3049999999999998E-2</v>
      </c>
      <c r="G75" s="4"/>
      <c r="H75" s="4"/>
      <c r="I75" s="4"/>
    </row>
    <row r="76" spans="2:9">
      <c r="B76">
        <v>32</v>
      </c>
      <c r="C76" s="4">
        <v>8.1254200000000001</v>
      </c>
      <c r="D76" s="61">
        <v>1.2250799999999999</v>
      </c>
      <c r="E76" s="4">
        <v>4.3020000000000003E-2</v>
      </c>
      <c r="G76" s="4"/>
      <c r="H76" s="4"/>
      <c r="I76" s="4"/>
    </row>
    <row r="77" spans="2:9">
      <c r="B77">
        <v>33</v>
      </c>
      <c r="C77" s="4">
        <v>8.2880099999999999</v>
      </c>
      <c r="D77" s="61">
        <v>1.25786</v>
      </c>
      <c r="E77" s="4">
        <v>4.274E-2</v>
      </c>
      <c r="G77" s="4"/>
      <c r="H77" s="4"/>
      <c r="I77" s="4"/>
    </row>
    <row r="78" spans="2:9">
      <c r="B78">
        <v>34</v>
      </c>
      <c r="C78" s="4">
        <v>8.4755500000000001</v>
      </c>
      <c r="D78" s="61">
        <v>1.2840400000000001</v>
      </c>
      <c r="E78" s="4">
        <v>4.1820000000000003E-2</v>
      </c>
      <c r="G78" s="4"/>
      <c r="H78" s="4"/>
      <c r="I78" s="4"/>
    </row>
    <row r="79" spans="2:9">
      <c r="B79">
        <v>35</v>
      </c>
      <c r="C79" s="4">
        <v>8.64527</v>
      </c>
      <c r="D79" s="61">
        <v>1.3166599999999999</v>
      </c>
      <c r="E79" s="4">
        <v>4.1029999999999997E-2</v>
      </c>
      <c r="G79" s="4"/>
      <c r="H79" s="4"/>
      <c r="I79" s="4"/>
    </row>
    <row r="80" spans="2:9">
      <c r="B80">
        <v>36</v>
      </c>
      <c r="C80" s="4">
        <v>8.8431300000000004</v>
      </c>
      <c r="D80" s="61">
        <v>1.34843</v>
      </c>
      <c r="E80" s="4">
        <v>3.9960000000000002E-2</v>
      </c>
      <c r="G80" s="4"/>
      <c r="H80" s="4"/>
      <c r="I80" s="4"/>
    </row>
    <row r="81" spans="2:9">
      <c r="B81">
        <v>37</v>
      </c>
      <c r="C81" s="4">
        <v>9.0411199999999994</v>
      </c>
      <c r="D81" s="61">
        <v>1.37398</v>
      </c>
      <c r="E81" s="4">
        <v>3.8350000000000002E-2</v>
      </c>
      <c r="G81" s="4"/>
      <c r="H81" s="4"/>
      <c r="I81" s="4"/>
    </row>
    <row r="82" spans="2:9">
      <c r="B82">
        <v>38</v>
      </c>
      <c r="C82" s="4">
        <v>9.2198499999999992</v>
      </c>
      <c r="D82" s="61">
        <v>1.40621</v>
      </c>
      <c r="E82" s="4">
        <v>3.6880000000000003E-2</v>
      </c>
      <c r="G82" s="4"/>
      <c r="H82" s="4"/>
      <c r="I82" s="4"/>
    </row>
    <row r="83" spans="2:9">
      <c r="B83">
        <v>39</v>
      </c>
      <c r="C83" s="4">
        <v>9.4005799999999997</v>
      </c>
      <c r="D83" s="61">
        <v>1.43835</v>
      </c>
      <c r="E83" s="4">
        <v>3.524E-2</v>
      </c>
      <c r="G83" s="4"/>
      <c r="H83" s="4"/>
      <c r="I83" s="4"/>
    </row>
    <row r="84" spans="2:9">
      <c r="B84">
        <v>40</v>
      </c>
      <c r="C84" s="4">
        <v>9.6088699999999996</v>
      </c>
      <c r="D84" s="61">
        <v>1.46309</v>
      </c>
      <c r="E84" s="4">
        <v>3.3149999999999999E-2</v>
      </c>
      <c r="G84" s="4"/>
      <c r="H84" s="4"/>
      <c r="I84" s="4"/>
    </row>
    <row r="85" spans="2:9">
      <c r="B85">
        <v>41</v>
      </c>
      <c r="C85" s="4">
        <v>9.7961600000000004</v>
      </c>
      <c r="D85" s="61">
        <v>1.4947299999999999</v>
      </c>
      <c r="E85" s="4">
        <v>3.124E-2</v>
      </c>
      <c r="G85" s="4"/>
      <c r="H85" s="4"/>
      <c r="I85" s="4"/>
    </row>
    <row r="86" spans="2:9">
      <c r="B86">
        <v>42</v>
      </c>
      <c r="C86" s="4">
        <v>9.9854299999999991</v>
      </c>
      <c r="D86" s="61">
        <v>1.5260899999999999</v>
      </c>
      <c r="E86" s="4">
        <v>2.9260000000000001E-2</v>
      </c>
      <c r="G86" s="4"/>
      <c r="H86" s="4"/>
      <c r="I86" s="4"/>
    </row>
    <row r="87" spans="2:9">
      <c r="B87">
        <v>43</v>
      </c>
      <c r="C87" s="4">
        <v>10.20331</v>
      </c>
      <c r="D87" s="61">
        <v>1.54975</v>
      </c>
      <c r="E87" s="4">
        <v>2.6980000000000001E-2</v>
      </c>
      <c r="G87" s="4"/>
      <c r="H87" s="4"/>
      <c r="I87" s="4"/>
    </row>
    <row r="88" spans="2:9">
      <c r="B88">
        <v>44</v>
      </c>
      <c r="C88" s="4">
        <v>10.429970000000001</v>
      </c>
      <c r="D88" s="61">
        <v>1.5793999999999999</v>
      </c>
      <c r="E88" s="4">
        <v>2.4910000000000002E-2</v>
      </c>
      <c r="G88" s="4"/>
      <c r="H88" s="4"/>
      <c r="I88" s="4"/>
    </row>
    <row r="89" spans="2:9">
      <c r="B89">
        <v>45</v>
      </c>
      <c r="C89" s="4">
        <v>10.6272</v>
      </c>
      <c r="D89" s="61">
        <v>1.60945</v>
      </c>
      <c r="E89" s="4">
        <v>2.2880000000000001E-2</v>
      </c>
      <c r="G89" s="4"/>
      <c r="H89" s="4"/>
      <c r="I89" s="4"/>
    </row>
    <row r="90" spans="2:9">
      <c r="B90">
        <v>46</v>
      </c>
      <c r="C90" s="4">
        <v>10.856999999999999</v>
      </c>
      <c r="D90" s="61">
        <v>1.6314</v>
      </c>
      <c r="E90" s="4">
        <v>2.069E-2</v>
      </c>
      <c r="G90" s="4"/>
      <c r="H90" s="4"/>
      <c r="I90" s="4"/>
    </row>
    <row r="91" spans="2:9">
      <c r="B91">
        <v>47</v>
      </c>
      <c r="C91" s="4">
        <v>11.06151</v>
      </c>
      <c r="D91" s="61">
        <v>1.66012</v>
      </c>
      <c r="E91" s="4">
        <v>1.8749999999999999E-2</v>
      </c>
      <c r="G91" s="4"/>
      <c r="H91" s="4"/>
      <c r="I91" s="4"/>
    </row>
    <row r="92" spans="2:9">
      <c r="B92">
        <v>48</v>
      </c>
      <c r="C92" s="4">
        <v>11.30575</v>
      </c>
      <c r="D92" s="61">
        <v>1.68702</v>
      </c>
      <c r="E92" s="4">
        <v>1.687E-2</v>
      </c>
      <c r="G92" s="4"/>
      <c r="H92" s="4"/>
      <c r="I92" s="4"/>
    </row>
    <row r="93" spans="2:9">
      <c r="B93">
        <v>49</v>
      </c>
      <c r="C93" s="4">
        <v>11.547940000000001</v>
      </c>
      <c r="D93" s="61">
        <v>1.70635</v>
      </c>
      <c r="E93" s="4">
        <v>1.499E-2</v>
      </c>
      <c r="G93" s="4"/>
      <c r="H93" s="4"/>
      <c r="I93" s="4"/>
    </row>
    <row r="94" spans="2:9">
      <c r="B94">
        <v>50</v>
      </c>
      <c r="C94" s="4">
        <v>11.76365</v>
      </c>
      <c r="D94" s="61">
        <v>1.7320800000000001</v>
      </c>
      <c r="E94" s="4">
        <v>1.333E-2</v>
      </c>
      <c r="G94" s="4"/>
      <c r="H94" s="4"/>
      <c r="I94" s="4"/>
    </row>
    <row r="95" spans="2:9">
      <c r="B95">
        <v>51</v>
      </c>
      <c r="C95" s="4">
        <v>11.984109999999999</v>
      </c>
      <c r="D95" s="61">
        <v>1.7565200000000001</v>
      </c>
      <c r="E95" s="4">
        <v>1.179E-2</v>
      </c>
      <c r="G95" s="4"/>
      <c r="H95" s="4"/>
      <c r="I95" s="4"/>
    </row>
    <row r="96" spans="2:9">
      <c r="B96">
        <v>52</v>
      </c>
      <c r="C96" s="4">
        <v>12.28327</v>
      </c>
      <c r="D96" s="61">
        <v>1.7708999999999999</v>
      </c>
      <c r="E96" s="4">
        <v>1.027E-2</v>
      </c>
      <c r="G96" s="4"/>
      <c r="H96" s="4"/>
      <c r="I96" s="4"/>
    </row>
    <row r="97" spans="2:9">
      <c r="B97">
        <v>53</v>
      </c>
      <c r="C97" s="4">
        <v>12.51731</v>
      </c>
      <c r="D97" s="61">
        <v>1.7921400000000001</v>
      </c>
      <c r="E97" s="4">
        <v>8.9800000000000001E-3</v>
      </c>
      <c r="G97" s="4"/>
      <c r="H97" s="4"/>
      <c r="I97" s="4"/>
    </row>
    <row r="98" spans="2:9">
      <c r="B98">
        <v>54</v>
      </c>
      <c r="C98" s="4">
        <v>12.75658</v>
      </c>
      <c r="D98" s="61">
        <v>1.81145</v>
      </c>
      <c r="E98" s="4">
        <v>7.7999999999999996E-3</v>
      </c>
      <c r="G98" s="4"/>
      <c r="H98" s="4"/>
      <c r="I98" s="4"/>
    </row>
    <row r="99" spans="2:9">
      <c r="B99">
        <v>55</v>
      </c>
      <c r="C99" s="4">
        <v>13.08305</v>
      </c>
      <c r="D99" s="61">
        <v>1.82023</v>
      </c>
      <c r="E99" s="4">
        <v>6.6800000000000002E-3</v>
      </c>
      <c r="G99" s="4"/>
      <c r="H99" s="4"/>
      <c r="I99" s="4"/>
    </row>
    <row r="100" spans="2:9">
      <c r="B100">
        <v>56</v>
      </c>
      <c r="C100" s="4">
        <v>13.388159999999999</v>
      </c>
      <c r="D100" s="61">
        <v>1.8339799999999999</v>
      </c>
      <c r="E100" s="4">
        <v>5.7200000000000003E-3</v>
      </c>
      <c r="G100" s="4"/>
      <c r="H100" s="4"/>
      <c r="I100" s="4"/>
    </row>
    <row r="101" spans="2:9">
      <c r="B101">
        <v>57</v>
      </c>
      <c r="C101" s="4">
        <v>13.706950000000001</v>
      </c>
      <c r="D101" s="61">
        <v>1.8450200000000001</v>
      </c>
      <c r="E101" s="4">
        <v>4.8900000000000002E-3</v>
      </c>
      <c r="G101" s="4"/>
      <c r="H101" s="4"/>
      <c r="I101" s="4"/>
    </row>
    <row r="102" spans="2:9">
      <c r="B102">
        <v>58</v>
      </c>
      <c r="C102" s="4">
        <v>14.080819999999999</v>
      </c>
      <c r="D102" s="61">
        <v>1.84612</v>
      </c>
      <c r="E102" s="4">
        <v>4.0899999999999999E-3</v>
      </c>
      <c r="G102" s="4"/>
      <c r="H102" s="4"/>
      <c r="I102" s="4"/>
    </row>
    <row r="103" spans="2:9">
      <c r="B103">
        <v>59</v>
      </c>
      <c r="C103" s="4">
        <v>14.384169999999999</v>
      </c>
      <c r="D103" s="61">
        <v>1.85215</v>
      </c>
      <c r="E103" s="4">
        <v>3.4399999999999999E-3</v>
      </c>
      <c r="G103" s="4"/>
      <c r="H103" s="4"/>
      <c r="I103" s="4"/>
    </row>
    <row r="104" spans="2:9">
      <c r="B104">
        <v>60</v>
      </c>
      <c r="C104" s="4">
        <v>14.70504</v>
      </c>
      <c r="D104" s="61">
        <v>1.8546</v>
      </c>
      <c r="E104" s="4">
        <v>2.8600000000000001E-3</v>
      </c>
      <c r="G104" s="4"/>
      <c r="H104" s="4"/>
      <c r="I104" s="4"/>
    </row>
    <row r="105" spans="2:9">
      <c r="B105">
        <v>61</v>
      </c>
      <c r="C105" s="4">
        <v>15.024010000000001</v>
      </c>
      <c r="D105" s="61">
        <v>1.84781</v>
      </c>
      <c r="E105" s="4">
        <v>2.3700000000000001E-3</v>
      </c>
      <c r="G105" s="4"/>
      <c r="H105" s="4"/>
      <c r="I105" s="4"/>
    </row>
    <row r="106" spans="2:9">
      <c r="B106">
        <v>62</v>
      </c>
      <c r="C106" s="4">
        <v>15.324909999999999</v>
      </c>
      <c r="D106" s="61">
        <v>1.8433900000000001</v>
      </c>
      <c r="E106" s="4">
        <v>1.91E-3</v>
      </c>
      <c r="G106" s="4"/>
      <c r="H106" s="4"/>
      <c r="I106" s="4"/>
    </row>
    <row r="107" spans="2:9">
      <c r="B107">
        <v>63</v>
      </c>
      <c r="C107" s="4">
        <v>15.85702</v>
      </c>
      <c r="D107" s="61">
        <v>1.8313200000000001</v>
      </c>
      <c r="E107" s="4">
        <v>1.56E-3</v>
      </c>
      <c r="G107" s="4"/>
      <c r="H107" s="4"/>
      <c r="I107" s="4"/>
    </row>
    <row r="108" spans="2:9">
      <c r="B108">
        <v>64</v>
      </c>
      <c r="C108" s="4">
        <v>16.49004</v>
      </c>
      <c r="D108" s="61">
        <v>1.8087299999999999</v>
      </c>
      <c r="E108" s="4">
        <v>1.2099999999999999E-3</v>
      </c>
      <c r="G108" s="4"/>
      <c r="H108" s="4"/>
      <c r="I108" s="4"/>
    </row>
    <row r="109" spans="2:9">
      <c r="B109">
        <v>65</v>
      </c>
      <c r="C109" s="4">
        <v>16.449860000000001</v>
      </c>
      <c r="D109" s="61">
        <v>1.79657</v>
      </c>
      <c r="E109" s="4">
        <v>9.7000000000000005E-4</v>
      </c>
      <c r="G109" s="4"/>
      <c r="H109" s="4"/>
      <c r="I109" s="4"/>
    </row>
    <row r="110" spans="2:9">
      <c r="B110">
        <v>66</v>
      </c>
      <c r="C110" s="4">
        <v>15.97236</v>
      </c>
      <c r="D110" s="61">
        <v>1.7852300000000001</v>
      </c>
      <c r="E110" s="4">
        <v>7.3999999999999999E-4</v>
      </c>
      <c r="G110" s="4"/>
      <c r="H110" s="4"/>
      <c r="I110" s="4"/>
    </row>
    <row r="111" spans="2:9">
      <c r="B111">
        <v>67</v>
      </c>
      <c r="C111" s="4">
        <v>15.52989</v>
      </c>
      <c r="D111" s="61">
        <v>1.7633099999999999</v>
      </c>
      <c r="E111" s="4">
        <v>5.5999999999999995E-4</v>
      </c>
      <c r="G111" s="4"/>
      <c r="H111" s="4"/>
      <c r="I111" s="4"/>
    </row>
    <row r="112" spans="2:9">
      <c r="B112">
        <v>68</v>
      </c>
      <c r="C112" s="4">
        <v>15.042439999999999</v>
      </c>
      <c r="D112" s="61">
        <v>1.7406600000000001</v>
      </c>
      <c r="E112" s="4">
        <v>3.8000000000000002E-4</v>
      </c>
      <c r="G112" s="4"/>
      <c r="H112" s="4"/>
      <c r="I112" s="4"/>
    </row>
    <row r="113" spans="2:9">
      <c r="B113">
        <v>69</v>
      </c>
      <c r="C113" s="4">
        <v>14.550520000000001</v>
      </c>
      <c r="D113" s="61">
        <v>1.7120599999999999</v>
      </c>
      <c r="E113" s="4">
        <v>2.7E-4</v>
      </c>
      <c r="G113" s="4"/>
      <c r="H113" s="4"/>
      <c r="I113" s="4"/>
    </row>
    <row r="114" spans="2:9">
      <c r="B114">
        <v>70</v>
      </c>
      <c r="C114" s="4">
        <v>14.092230000000001</v>
      </c>
      <c r="D114" s="61">
        <v>1.6755100000000001</v>
      </c>
      <c r="E114" s="4">
        <v>1.4999999999999999E-4</v>
      </c>
      <c r="G114" s="4"/>
      <c r="H114" s="4"/>
      <c r="I114" s="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5"/>
  <dimension ref="B1:N114"/>
  <sheetViews>
    <sheetView workbookViewId="0"/>
  </sheetViews>
  <sheetFormatPr defaultRowHeight="12.75"/>
  <cols>
    <col min="2" max="2" width="8.85546875" bestFit="1" customWidth="1"/>
    <col min="7" max="7" width="12" customWidth="1"/>
    <col min="9" max="9" width="10.5703125" bestFit="1" customWidth="1"/>
    <col min="10" max="10" width="11.42578125" customWidth="1"/>
    <col min="12" max="12" width="13.7109375" bestFit="1" customWidth="1"/>
  </cols>
  <sheetData>
    <row r="1" spans="2:13">
      <c r="B1" s="65" t="s">
        <v>147</v>
      </c>
      <c r="D1" s="59"/>
    </row>
    <row r="2" spans="2:13">
      <c r="B2">
        <v>2023</v>
      </c>
      <c r="D2" s="60"/>
    </row>
    <row r="3" spans="2:13">
      <c r="B3" s="57"/>
      <c r="D3" s="60"/>
      <c r="G3" s="57" t="s">
        <v>67</v>
      </c>
    </row>
    <row r="4" spans="2:13">
      <c r="B4" s="57" t="s">
        <v>68</v>
      </c>
      <c r="C4" s="57" t="s">
        <v>69</v>
      </c>
      <c r="D4" s="57"/>
      <c r="F4" s="57" t="s">
        <v>68</v>
      </c>
      <c r="G4" s="57" t="s">
        <v>70</v>
      </c>
      <c r="H4" s="57" t="s">
        <v>71</v>
      </c>
      <c r="I4" s="57" t="s">
        <v>72</v>
      </c>
    </row>
    <row r="5" spans="2:13">
      <c r="B5">
        <v>18</v>
      </c>
      <c r="C5" s="4">
        <v>5.4154499999999999</v>
      </c>
      <c r="D5" s="4"/>
      <c r="F5">
        <v>18</v>
      </c>
      <c r="G5" s="4">
        <v>4.6703299999999999</v>
      </c>
      <c r="H5" s="4">
        <v>0.61924000000000001</v>
      </c>
      <c r="I5" s="4">
        <v>0.12587999999999999</v>
      </c>
      <c r="K5" s="4"/>
      <c r="L5" s="4"/>
      <c r="M5" s="4"/>
    </row>
    <row r="6" spans="2:13">
      <c r="B6">
        <v>19</v>
      </c>
      <c r="C6" s="4">
        <v>5.5318399999999999</v>
      </c>
      <c r="D6" s="4"/>
      <c r="F6">
        <v>19</v>
      </c>
      <c r="G6" s="4">
        <v>4.7730300000000003</v>
      </c>
      <c r="H6" s="4">
        <v>0.62841000000000002</v>
      </c>
      <c r="I6" s="4">
        <v>0.13039999999999999</v>
      </c>
      <c r="K6" s="4"/>
      <c r="L6" s="4"/>
      <c r="M6" s="4"/>
    </row>
    <row r="7" spans="2:13">
      <c r="B7">
        <v>20</v>
      </c>
      <c r="C7" s="4">
        <v>5.6549199999999997</v>
      </c>
      <c r="D7" s="4"/>
      <c r="F7">
        <v>20</v>
      </c>
      <c r="G7" s="4">
        <v>4.8808299999999996</v>
      </c>
      <c r="H7" s="4">
        <v>0.63885999999999998</v>
      </c>
      <c r="I7" s="4">
        <v>0.13522999999999999</v>
      </c>
      <c r="K7" s="4"/>
      <c r="L7" s="4"/>
      <c r="M7" s="4"/>
    </row>
    <row r="8" spans="2:13">
      <c r="B8">
        <v>21</v>
      </c>
      <c r="C8" s="4">
        <v>5.7987399999999996</v>
      </c>
      <c r="D8" s="4"/>
      <c r="F8">
        <v>21</v>
      </c>
      <c r="G8" s="4">
        <v>5.0022200000000003</v>
      </c>
      <c r="H8" s="4">
        <v>0.65666000000000002</v>
      </c>
      <c r="I8" s="4">
        <v>0.13986999999999999</v>
      </c>
      <c r="K8" s="4"/>
      <c r="L8" s="4"/>
      <c r="M8" s="4"/>
    </row>
    <row r="9" spans="2:13">
      <c r="B9">
        <v>22</v>
      </c>
      <c r="C9" s="4">
        <v>5.9275599999999997</v>
      </c>
      <c r="D9" s="4"/>
      <c r="F9">
        <v>22</v>
      </c>
      <c r="G9" s="4">
        <v>5.1154400000000004</v>
      </c>
      <c r="H9" s="4">
        <v>0.66710000000000003</v>
      </c>
      <c r="I9" s="4">
        <v>0.14501</v>
      </c>
      <c r="K9" s="4"/>
      <c r="L9" s="4"/>
      <c r="M9" s="4"/>
    </row>
    <row r="10" spans="2:13">
      <c r="B10">
        <v>23</v>
      </c>
      <c r="C10" s="4">
        <v>6.0613799999999998</v>
      </c>
      <c r="D10" s="4"/>
      <c r="F10">
        <v>23</v>
      </c>
      <c r="G10" s="4">
        <v>5.2343500000000001</v>
      </c>
      <c r="H10" s="4">
        <v>0.67674000000000001</v>
      </c>
      <c r="I10" s="4">
        <v>0.15029000000000001</v>
      </c>
      <c r="K10" s="4"/>
      <c r="L10" s="4"/>
      <c r="M10" s="4"/>
    </row>
    <row r="11" spans="2:13">
      <c r="B11">
        <v>24</v>
      </c>
      <c r="C11" s="4">
        <v>6.2090399999999999</v>
      </c>
      <c r="D11" s="4"/>
      <c r="F11">
        <v>24</v>
      </c>
      <c r="G11" s="4">
        <v>5.3674600000000003</v>
      </c>
      <c r="H11" s="4">
        <v>0.68688000000000005</v>
      </c>
      <c r="I11" s="4">
        <v>0.1547</v>
      </c>
      <c r="K11" s="4"/>
      <c r="L11" s="4"/>
      <c r="M11" s="4"/>
    </row>
    <row r="12" spans="2:13">
      <c r="B12">
        <v>25</v>
      </c>
      <c r="C12" s="4">
        <v>6.3464700000000001</v>
      </c>
      <c r="D12" s="4"/>
      <c r="F12">
        <v>25</v>
      </c>
      <c r="G12" s="4">
        <v>5.4894299999999996</v>
      </c>
      <c r="H12" s="4">
        <v>0.69681000000000004</v>
      </c>
      <c r="I12" s="4">
        <v>0.16023000000000001</v>
      </c>
      <c r="K12" s="4"/>
      <c r="L12" s="4"/>
      <c r="M12" s="4"/>
    </row>
    <row r="13" spans="2:13">
      <c r="B13">
        <v>26</v>
      </c>
      <c r="C13" s="4">
        <v>6.4882099999999996</v>
      </c>
      <c r="D13" s="4"/>
      <c r="F13">
        <v>26</v>
      </c>
      <c r="G13" s="4">
        <v>5.6165900000000004</v>
      </c>
      <c r="H13" s="4">
        <v>0.70577999999999996</v>
      </c>
      <c r="I13" s="4">
        <v>0.16585</v>
      </c>
      <c r="K13" s="4"/>
      <c r="L13" s="4"/>
      <c r="M13" s="4"/>
    </row>
    <row r="14" spans="2:13">
      <c r="B14">
        <v>27</v>
      </c>
      <c r="C14" s="4">
        <v>6.64541</v>
      </c>
      <c r="D14" s="4"/>
      <c r="F14">
        <v>27</v>
      </c>
      <c r="G14" s="4">
        <v>5.7598000000000003</v>
      </c>
      <c r="H14" s="4">
        <v>0.71514</v>
      </c>
      <c r="I14" s="4">
        <v>0.17047000000000001</v>
      </c>
      <c r="K14" s="4"/>
      <c r="L14" s="4"/>
      <c r="M14" s="4"/>
    </row>
    <row r="15" spans="2:13">
      <c r="B15">
        <v>28</v>
      </c>
      <c r="C15" s="4">
        <v>6.7913199999999998</v>
      </c>
      <c r="D15" s="4"/>
      <c r="F15">
        <v>28</v>
      </c>
      <c r="G15" s="4">
        <v>5.89093</v>
      </c>
      <c r="H15" s="4">
        <v>0.72414999999999996</v>
      </c>
      <c r="I15" s="4">
        <v>0.17624000000000001</v>
      </c>
      <c r="K15" s="4"/>
      <c r="L15" s="4"/>
      <c r="M15" s="4"/>
    </row>
    <row r="16" spans="2:13">
      <c r="B16">
        <v>29</v>
      </c>
      <c r="C16" s="4">
        <v>6.94956</v>
      </c>
      <c r="D16" s="4"/>
      <c r="F16">
        <v>29</v>
      </c>
      <c r="G16" s="4">
        <v>6.0344899999999999</v>
      </c>
      <c r="H16" s="4">
        <v>0.73279000000000005</v>
      </c>
      <c r="I16" s="4">
        <v>0.18228</v>
      </c>
      <c r="K16" s="4"/>
      <c r="L16" s="4"/>
      <c r="M16" s="4"/>
    </row>
    <row r="17" spans="2:13">
      <c r="B17">
        <v>30</v>
      </c>
      <c r="C17" s="4">
        <v>7.1161099999999999</v>
      </c>
      <c r="D17" s="4"/>
      <c r="F17">
        <v>30</v>
      </c>
      <c r="G17" s="4">
        <v>6.1882799999999998</v>
      </c>
      <c r="H17" s="4">
        <v>0.74085000000000001</v>
      </c>
      <c r="I17" s="4">
        <v>0.18698000000000001</v>
      </c>
      <c r="K17" s="4"/>
      <c r="L17" s="4"/>
      <c r="M17" s="4"/>
    </row>
    <row r="18" spans="2:13">
      <c r="B18">
        <v>31</v>
      </c>
      <c r="C18" s="4">
        <v>7.2777900000000004</v>
      </c>
      <c r="D18" s="4"/>
      <c r="F18">
        <v>31</v>
      </c>
      <c r="G18" s="4">
        <v>6.3354900000000001</v>
      </c>
      <c r="H18" s="4">
        <v>0.74919000000000002</v>
      </c>
      <c r="I18" s="4">
        <v>0.19312000000000001</v>
      </c>
      <c r="K18" s="4"/>
      <c r="L18" s="4"/>
      <c r="M18" s="4"/>
    </row>
    <row r="19" spans="2:13">
      <c r="B19">
        <v>32</v>
      </c>
      <c r="C19" s="4">
        <v>7.4360999999999997</v>
      </c>
      <c r="D19" s="4"/>
      <c r="F19">
        <v>32</v>
      </c>
      <c r="G19" s="4">
        <v>6.4818300000000004</v>
      </c>
      <c r="H19" s="4">
        <v>0.75521000000000005</v>
      </c>
      <c r="I19" s="4">
        <v>0.19907</v>
      </c>
      <c r="K19" s="4"/>
      <c r="L19" s="4"/>
      <c r="M19" s="4"/>
    </row>
    <row r="20" spans="2:13">
      <c r="B20">
        <v>33</v>
      </c>
      <c r="C20" s="4">
        <v>7.6212400000000002</v>
      </c>
      <c r="D20" s="4"/>
      <c r="F20">
        <v>33</v>
      </c>
      <c r="G20" s="4">
        <v>6.6551499999999999</v>
      </c>
      <c r="H20" s="4">
        <v>0.7621</v>
      </c>
      <c r="I20" s="4">
        <v>0.20399</v>
      </c>
      <c r="K20" s="4"/>
      <c r="L20" s="4"/>
      <c r="M20" s="4"/>
    </row>
    <row r="21" spans="2:13">
      <c r="B21">
        <v>34</v>
      </c>
      <c r="C21" s="4">
        <v>7.7835799999999997</v>
      </c>
      <c r="D21" s="4"/>
      <c r="F21">
        <v>34</v>
      </c>
      <c r="G21" s="4">
        <v>6.8063099999999999</v>
      </c>
      <c r="H21" s="4">
        <v>0.76729000000000003</v>
      </c>
      <c r="I21" s="4">
        <v>0.20998</v>
      </c>
      <c r="K21" s="4"/>
      <c r="L21" s="4"/>
      <c r="M21" s="4"/>
    </row>
    <row r="22" spans="2:13">
      <c r="B22">
        <v>35</v>
      </c>
      <c r="C22" s="4">
        <v>7.9608499999999998</v>
      </c>
      <c r="D22" s="4"/>
      <c r="F22">
        <v>35</v>
      </c>
      <c r="G22" s="4">
        <v>6.9730999999999996</v>
      </c>
      <c r="H22" s="4">
        <v>0.77151000000000003</v>
      </c>
      <c r="I22" s="4">
        <v>0.21623999999999999</v>
      </c>
      <c r="K22" s="4"/>
      <c r="L22" s="4"/>
      <c r="M22" s="4"/>
    </row>
    <row r="23" spans="2:13">
      <c r="B23">
        <v>36</v>
      </c>
      <c r="C23" s="4">
        <v>8.1566299999999998</v>
      </c>
      <c r="D23" s="4"/>
      <c r="F23">
        <v>36</v>
      </c>
      <c r="G23" s="4">
        <v>7.1600400000000004</v>
      </c>
      <c r="H23" s="4">
        <v>0.77544999999999997</v>
      </c>
      <c r="I23" s="4">
        <v>0.22114</v>
      </c>
      <c r="K23" s="4"/>
      <c r="L23" s="4"/>
      <c r="M23" s="4"/>
    </row>
    <row r="24" spans="2:13">
      <c r="B24">
        <v>37</v>
      </c>
      <c r="C24" s="4">
        <v>8.3284300000000009</v>
      </c>
      <c r="D24" s="4"/>
      <c r="F24">
        <v>37</v>
      </c>
      <c r="G24" s="4">
        <v>7.3239200000000002</v>
      </c>
      <c r="H24" s="4">
        <v>0.77730999999999995</v>
      </c>
      <c r="I24" s="4">
        <v>0.22720000000000001</v>
      </c>
      <c r="K24" s="4"/>
      <c r="L24" s="4"/>
      <c r="M24" s="4"/>
    </row>
    <row r="25" spans="2:13">
      <c r="B25">
        <v>38</v>
      </c>
      <c r="C25" s="4">
        <v>8.5146899999999999</v>
      </c>
      <c r="D25" s="4"/>
      <c r="F25">
        <v>38</v>
      </c>
      <c r="G25" s="4">
        <v>7.5034200000000002</v>
      </c>
      <c r="H25" s="4">
        <v>0.77773999999999999</v>
      </c>
      <c r="I25" s="4">
        <v>0.23352000000000001</v>
      </c>
      <c r="K25" s="4"/>
      <c r="L25" s="4"/>
      <c r="M25" s="4"/>
    </row>
    <row r="26" spans="2:13">
      <c r="B26">
        <v>39</v>
      </c>
      <c r="C26" s="4">
        <v>8.7217699999999994</v>
      </c>
      <c r="D26" s="4"/>
      <c r="F26">
        <v>39</v>
      </c>
      <c r="G26" s="4">
        <v>7.7058</v>
      </c>
      <c r="H26" s="4">
        <v>0.77753000000000005</v>
      </c>
      <c r="I26" s="4">
        <v>0.23844000000000001</v>
      </c>
      <c r="K26" s="4"/>
      <c r="L26" s="4"/>
      <c r="M26" s="4"/>
    </row>
    <row r="27" spans="2:13">
      <c r="B27">
        <v>40</v>
      </c>
      <c r="C27" s="4">
        <v>8.9125700000000005</v>
      </c>
      <c r="D27" s="4"/>
      <c r="F27">
        <v>40</v>
      </c>
      <c r="G27" s="4">
        <v>7.8921299999999999</v>
      </c>
      <c r="H27" s="4">
        <v>0.77559999999999996</v>
      </c>
      <c r="I27" s="4">
        <v>0.24484</v>
      </c>
      <c r="K27" s="4"/>
      <c r="L27" s="4"/>
      <c r="M27" s="4"/>
    </row>
    <row r="28" spans="2:13">
      <c r="B28">
        <v>41</v>
      </c>
      <c r="C28" s="4">
        <v>9.1045800000000003</v>
      </c>
      <c r="D28" s="4"/>
      <c r="F28">
        <v>41</v>
      </c>
      <c r="G28" s="4">
        <v>8.0933799999999998</v>
      </c>
      <c r="H28" s="4">
        <v>0.76088999999999996</v>
      </c>
      <c r="I28" s="4">
        <v>0.25031999999999999</v>
      </c>
      <c r="K28" s="4"/>
      <c r="L28" s="4"/>
      <c r="M28" s="4"/>
    </row>
    <row r="29" spans="2:13">
      <c r="B29">
        <v>42</v>
      </c>
      <c r="C29" s="4">
        <v>9.3228600000000004</v>
      </c>
      <c r="D29" s="4"/>
      <c r="F29">
        <v>42</v>
      </c>
      <c r="G29" s="4">
        <v>8.3126899999999999</v>
      </c>
      <c r="H29" s="4">
        <v>0.75492000000000004</v>
      </c>
      <c r="I29" s="4">
        <v>0.25524999999999998</v>
      </c>
      <c r="K29" s="4"/>
      <c r="L29" s="4"/>
      <c r="M29" s="4"/>
    </row>
    <row r="30" spans="2:13">
      <c r="B30">
        <v>43</v>
      </c>
      <c r="C30" s="4">
        <v>9.5365800000000007</v>
      </c>
      <c r="D30" s="4"/>
      <c r="F30">
        <v>43</v>
      </c>
      <c r="G30" s="4">
        <v>8.5279600000000002</v>
      </c>
      <c r="H30" s="4">
        <v>0.74656999999999996</v>
      </c>
      <c r="I30" s="4">
        <v>0.26205000000000001</v>
      </c>
      <c r="K30" s="4"/>
      <c r="L30" s="4"/>
      <c r="M30" s="4"/>
    </row>
    <row r="31" spans="2:13">
      <c r="B31">
        <v>44</v>
      </c>
      <c r="C31" s="4">
        <v>9.7392000000000003</v>
      </c>
      <c r="D31" s="4"/>
      <c r="F31">
        <v>44</v>
      </c>
      <c r="G31" s="4">
        <v>8.7346900000000005</v>
      </c>
      <c r="H31" s="4">
        <v>0.73587999999999998</v>
      </c>
      <c r="I31" s="4">
        <v>0.26863999999999999</v>
      </c>
      <c r="K31" s="4"/>
      <c r="L31" s="4"/>
      <c r="M31" s="4"/>
    </row>
    <row r="32" spans="2:13">
      <c r="B32">
        <v>45</v>
      </c>
      <c r="C32" s="4">
        <v>9.9700000000000006</v>
      </c>
      <c r="D32" s="4"/>
      <c r="F32">
        <v>45</v>
      </c>
      <c r="G32" s="4">
        <v>8.9738299999999995</v>
      </c>
      <c r="H32" s="4">
        <v>0.72252000000000005</v>
      </c>
      <c r="I32" s="4">
        <v>0.27365</v>
      </c>
      <c r="K32" s="4"/>
      <c r="L32" s="4"/>
      <c r="M32" s="4"/>
    </row>
    <row r="33" spans="2:14">
      <c r="B33">
        <v>46</v>
      </c>
      <c r="C33" s="4">
        <v>10.192819999999999</v>
      </c>
      <c r="D33" s="4"/>
      <c r="F33">
        <v>46</v>
      </c>
      <c r="G33" s="4">
        <v>9.2172800000000006</v>
      </c>
      <c r="H33" s="4">
        <v>0.69601000000000002</v>
      </c>
      <c r="I33" s="4">
        <v>0.27953</v>
      </c>
      <c r="K33" s="4"/>
      <c r="L33" s="4"/>
      <c r="M33" s="4"/>
    </row>
    <row r="34" spans="2:14">
      <c r="B34">
        <v>47</v>
      </c>
      <c r="C34" s="4">
        <v>10.40713</v>
      </c>
      <c r="D34" s="4"/>
      <c r="F34">
        <v>47</v>
      </c>
      <c r="G34" s="4">
        <v>9.4441600000000001</v>
      </c>
      <c r="H34" s="4">
        <v>0.67674000000000001</v>
      </c>
      <c r="I34" s="4">
        <v>0.28623999999999999</v>
      </c>
      <c r="K34" s="4"/>
      <c r="L34" s="4"/>
      <c r="M34" s="4"/>
    </row>
    <row r="35" spans="2:14">
      <c r="B35">
        <v>48</v>
      </c>
      <c r="C35" s="4">
        <v>10.65507</v>
      </c>
      <c r="D35" s="4"/>
      <c r="F35">
        <v>48</v>
      </c>
      <c r="G35" s="4">
        <v>9.7105499999999996</v>
      </c>
      <c r="H35" s="4">
        <v>0.65325999999999995</v>
      </c>
      <c r="I35" s="4">
        <v>0.29125000000000001</v>
      </c>
      <c r="K35" s="4"/>
      <c r="L35" s="4"/>
      <c r="M35" s="4"/>
    </row>
    <row r="36" spans="2:14">
      <c r="B36">
        <v>49</v>
      </c>
      <c r="C36" s="4">
        <v>11.16342</v>
      </c>
      <c r="D36" s="4"/>
      <c r="F36">
        <v>49</v>
      </c>
      <c r="G36" s="4">
        <v>9.9631100000000004</v>
      </c>
      <c r="H36" s="4">
        <v>0.62805999999999995</v>
      </c>
      <c r="I36" s="4">
        <v>0.57225000000000004</v>
      </c>
      <c r="K36" s="4"/>
      <c r="L36" s="4"/>
      <c r="M36" s="4"/>
    </row>
    <row r="37" spans="2:14">
      <c r="B37">
        <v>50</v>
      </c>
      <c r="C37" s="4">
        <v>11.407159999999999</v>
      </c>
      <c r="D37" s="4"/>
      <c r="F37">
        <v>50</v>
      </c>
      <c r="G37" s="4">
        <v>10.238379999999999</v>
      </c>
      <c r="H37" s="4">
        <v>0.58858999999999995</v>
      </c>
      <c r="I37" s="4">
        <v>0.58020000000000005</v>
      </c>
      <c r="K37" s="4"/>
      <c r="L37" s="4"/>
      <c r="M37" s="4"/>
    </row>
    <row r="38" spans="2:14">
      <c r="B38">
        <v>51</v>
      </c>
      <c r="C38" s="4">
        <v>11.68261</v>
      </c>
      <c r="D38" s="4"/>
      <c r="F38">
        <v>51</v>
      </c>
      <c r="G38" s="4">
        <v>10.538880000000001</v>
      </c>
      <c r="H38" s="4">
        <v>0.55627000000000004</v>
      </c>
      <c r="I38" s="4">
        <v>0.58747000000000005</v>
      </c>
      <c r="K38" s="4"/>
      <c r="L38" s="4"/>
      <c r="M38" s="4"/>
    </row>
    <row r="39" spans="2:14">
      <c r="B39">
        <v>52</v>
      </c>
      <c r="C39" s="4">
        <v>11.9252</v>
      </c>
      <c r="D39" s="4"/>
      <c r="F39">
        <v>52</v>
      </c>
      <c r="G39" s="4">
        <v>10.80935</v>
      </c>
      <c r="H39" s="4">
        <v>0.51970000000000005</v>
      </c>
      <c r="I39" s="4">
        <v>0.59616000000000002</v>
      </c>
      <c r="K39" s="4"/>
      <c r="L39" s="4"/>
      <c r="M39" s="4"/>
    </row>
    <row r="40" spans="2:14">
      <c r="B40">
        <v>53</v>
      </c>
      <c r="C40" s="4">
        <v>12.19017</v>
      </c>
      <c r="D40" s="4"/>
      <c r="F40">
        <v>53</v>
      </c>
      <c r="G40" s="4">
        <v>11.106109999999999</v>
      </c>
      <c r="H40" s="4">
        <v>0.47914000000000001</v>
      </c>
      <c r="I40" s="4">
        <v>0.60492999999999997</v>
      </c>
      <c r="K40" s="4"/>
      <c r="L40" s="4"/>
      <c r="M40" s="4"/>
    </row>
    <row r="41" spans="2:14">
      <c r="B41">
        <v>54</v>
      </c>
      <c r="C41" s="4">
        <v>12.48456</v>
      </c>
      <c r="D41" s="4"/>
      <c r="F41">
        <v>54</v>
      </c>
      <c r="G41" s="4">
        <v>11.44895</v>
      </c>
      <c r="H41" s="4">
        <v>0.42730000000000001</v>
      </c>
      <c r="I41" s="4">
        <v>0.60831999999999997</v>
      </c>
      <c r="K41" s="4"/>
      <c r="L41" s="4"/>
      <c r="M41" s="4"/>
    </row>
    <row r="42" spans="2:14">
      <c r="B42">
        <v>55</v>
      </c>
      <c r="C42" s="4">
        <v>12.76465</v>
      </c>
      <c r="D42" s="4"/>
      <c r="F42">
        <v>55</v>
      </c>
      <c r="G42" s="4">
        <v>11.76845</v>
      </c>
      <c r="H42" s="4">
        <v>0.38041000000000003</v>
      </c>
      <c r="I42" s="4">
        <v>0.61578999999999995</v>
      </c>
      <c r="K42" s="4"/>
      <c r="L42" s="4"/>
      <c r="M42" s="4"/>
    </row>
    <row r="43" spans="2:14">
      <c r="B43">
        <v>56</v>
      </c>
      <c r="C43" s="4">
        <v>13.049110000000001</v>
      </c>
      <c r="D43" s="4"/>
      <c r="F43">
        <v>56</v>
      </c>
      <c r="G43" s="4">
        <v>12.105040000000001</v>
      </c>
      <c r="H43" s="4">
        <v>0.32390999999999998</v>
      </c>
      <c r="I43" s="4">
        <v>0.62016000000000004</v>
      </c>
      <c r="K43" s="4"/>
      <c r="L43" s="4"/>
      <c r="M43" s="4"/>
    </row>
    <row r="44" spans="2:14">
      <c r="B44">
        <v>57</v>
      </c>
      <c r="C44" s="4">
        <v>13.456239999999999</v>
      </c>
      <c r="D44" s="4"/>
      <c r="F44">
        <v>57</v>
      </c>
      <c r="G44" s="4">
        <v>12.564550000000001</v>
      </c>
      <c r="H44" s="4">
        <v>0.26713999999999999</v>
      </c>
      <c r="I44" s="4">
        <v>0.62455000000000005</v>
      </c>
      <c r="K44" s="4"/>
      <c r="L44" s="4"/>
      <c r="M44" s="4"/>
    </row>
    <row r="45" spans="2:14">
      <c r="B45">
        <v>58</v>
      </c>
      <c r="C45" s="4">
        <v>13.7835</v>
      </c>
      <c r="D45" s="4"/>
      <c r="F45">
        <v>58</v>
      </c>
      <c r="G45" s="4">
        <v>12.937010000000001</v>
      </c>
      <c r="H45" s="4">
        <v>0.21637999999999999</v>
      </c>
      <c r="I45" s="4">
        <v>0.63012000000000001</v>
      </c>
      <c r="K45" s="4"/>
      <c r="L45" s="4"/>
      <c r="M45" s="4"/>
    </row>
    <row r="46" spans="2:14">
      <c r="B46">
        <v>59</v>
      </c>
      <c r="C46" s="4">
        <v>14.107329999999999</v>
      </c>
      <c r="D46" s="4"/>
      <c r="F46">
        <v>59</v>
      </c>
      <c r="G46" s="4">
        <v>13.317349999999999</v>
      </c>
      <c r="H46" s="4">
        <v>0.15914</v>
      </c>
      <c r="I46" s="4">
        <v>0.63085000000000002</v>
      </c>
      <c r="K46" s="4"/>
      <c r="L46" s="4"/>
      <c r="M46" s="4"/>
    </row>
    <row r="47" spans="2:14">
      <c r="B47">
        <v>60</v>
      </c>
      <c r="C47" s="4">
        <v>14.43338</v>
      </c>
      <c r="D47" s="4"/>
      <c r="F47">
        <v>60</v>
      </c>
      <c r="G47" s="4">
        <v>13.685969999999999</v>
      </c>
      <c r="H47" s="4">
        <v>0.11588</v>
      </c>
      <c r="I47" s="4">
        <v>0.63153000000000004</v>
      </c>
      <c r="K47" s="4"/>
      <c r="L47" s="4"/>
      <c r="M47" s="4"/>
      <c r="N47" s="4"/>
    </row>
    <row r="48" spans="2:14">
      <c r="B48">
        <v>61</v>
      </c>
      <c r="C48" s="4">
        <v>14.7575</v>
      </c>
      <c r="D48" s="4"/>
      <c r="F48">
        <v>61</v>
      </c>
      <c r="G48" s="4">
        <v>14.048030000000001</v>
      </c>
      <c r="H48" s="4">
        <v>7.5560000000000002E-2</v>
      </c>
      <c r="I48" s="4">
        <v>0.63390999999999997</v>
      </c>
      <c r="K48" s="4"/>
      <c r="L48" s="4"/>
      <c r="M48" s="4"/>
      <c r="N48" s="4"/>
    </row>
    <row r="49" spans="2:14">
      <c r="B49">
        <v>62</v>
      </c>
      <c r="C49" s="4">
        <v>15.2094</v>
      </c>
      <c r="D49" s="4"/>
      <c r="F49">
        <v>62</v>
      </c>
      <c r="G49" s="4">
        <v>14.547090000000001</v>
      </c>
      <c r="H49" s="4">
        <v>3.1809999999999998E-2</v>
      </c>
      <c r="I49" s="4">
        <v>0.63048999999999999</v>
      </c>
      <c r="K49" s="4"/>
      <c r="L49" s="4"/>
      <c r="M49" s="4"/>
      <c r="N49" s="9"/>
    </row>
    <row r="50" spans="2:14">
      <c r="B50">
        <v>63</v>
      </c>
      <c r="C50" s="4">
        <v>15.79659</v>
      </c>
      <c r="D50" s="4"/>
      <c r="F50">
        <v>63</v>
      </c>
      <c r="G50" s="4">
        <v>15.16588</v>
      </c>
      <c r="H50" s="4">
        <v>5.0299999999999997E-3</v>
      </c>
      <c r="I50" s="4">
        <v>0.62566999999999995</v>
      </c>
      <c r="K50" s="4"/>
      <c r="L50" s="4"/>
      <c r="M50" s="4"/>
      <c r="N50" s="9"/>
    </row>
    <row r="51" spans="2:14">
      <c r="B51">
        <v>64</v>
      </c>
      <c r="C51" s="4">
        <v>16.421700000000001</v>
      </c>
      <c r="D51" s="4"/>
      <c r="F51">
        <v>64</v>
      </c>
      <c r="G51" s="4">
        <v>15.797280000000001</v>
      </c>
      <c r="H51" s="4">
        <v>2.5600000000000002E-3</v>
      </c>
      <c r="I51" s="4">
        <v>0.62185999999999997</v>
      </c>
      <c r="K51" s="4"/>
      <c r="L51" s="4"/>
      <c r="M51" s="4"/>
    </row>
    <row r="52" spans="2:14">
      <c r="B52">
        <v>65</v>
      </c>
      <c r="C52" s="4">
        <v>16.239470000000001</v>
      </c>
      <c r="D52" s="4"/>
      <c r="F52">
        <v>65</v>
      </c>
      <c r="G52" s="4">
        <v>15.618220000000001</v>
      </c>
      <c r="H52" s="4">
        <v>0</v>
      </c>
      <c r="I52" s="4">
        <v>0.62124999999999997</v>
      </c>
      <c r="K52" s="4"/>
      <c r="L52" s="4"/>
      <c r="M52" s="4"/>
    </row>
    <row r="53" spans="2:14">
      <c r="B53">
        <v>66</v>
      </c>
      <c r="C53" s="4">
        <v>15.86811</v>
      </c>
      <c r="D53" s="4"/>
      <c r="F53">
        <v>66</v>
      </c>
      <c r="G53" s="4">
        <v>15.25075</v>
      </c>
      <c r="H53" s="4">
        <v>0</v>
      </c>
      <c r="I53" s="4">
        <v>0.61736000000000002</v>
      </c>
      <c r="K53" s="4"/>
      <c r="L53" s="4"/>
      <c r="M53" s="4"/>
    </row>
    <row r="54" spans="2:14">
      <c r="B54">
        <v>67</v>
      </c>
      <c r="C54" s="4">
        <v>15.46062</v>
      </c>
      <c r="D54" s="4"/>
      <c r="F54">
        <v>67</v>
      </c>
      <c r="G54" s="4">
        <v>14.84689</v>
      </c>
      <c r="H54" s="4">
        <v>0</v>
      </c>
      <c r="I54" s="4">
        <v>0.61373</v>
      </c>
      <c r="K54" s="4"/>
      <c r="L54" s="4"/>
      <c r="M54" s="4"/>
    </row>
    <row r="55" spans="2:14">
      <c r="B55">
        <v>68</v>
      </c>
      <c r="C55" s="4">
        <v>15.02111</v>
      </c>
      <c r="D55" s="4"/>
      <c r="F55">
        <v>68</v>
      </c>
      <c r="G55" s="4">
        <v>14.414</v>
      </c>
      <c r="H55" s="4">
        <v>0</v>
      </c>
      <c r="I55" s="4">
        <v>0.60711999999999999</v>
      </c>
      <c r="K55" s="4"/>
      <c r="L55" s="4"/>
      <c r="M55" s="4"/>
    </row>
    <row r="56" spans="2:14">
      <c r="B56">
        <v>69</v>
      </c>
      <c r="C56" s="4">
        <v>14.64317</v>
      </c>
      <c r="D56" s="4"/>
      <c r="F56">
        <v>69</v>
      </c>
      <c r="G56" s="4">
        <v>14.0449</v>
      </c>
      <c r="H56" s="4">
        <v>0</v>
      </c>
      <c r="I56" s="4">
        <v>0.59826999999999997</v>
      </c>
      <c r="K56" s="4"/>
      <c r="L56" s="4"/>
      <c r="M56" s="4"/>
    </row>
    <row r="57" spans="2:14">
      <c r="B57">
        <v>70</v>
      </c>
      <c r="C57" s="4">
        <v>14.200430000000001</v>
      </c>
      <c r="D57" s="4"/>
      <c r="F57">
        <v>70</v>
      </c>
      <c r="G57" s="4">
        <v>13.61007</v>
      </c>
      <c r="H57" s="4">
        <v>0</v>
      </c>
      <c r="I57" s="4">
        <v>0.59036</v>
      </c>
      <c r="K57" s="4"/>
      <c r="L57" s="4"/>
      <c r="M57" s="4"/>
    </row>
    <row r="59" spans="2:14">
      <c r="B59" s="57"/>
    </row>
    <row r="60" spans="2:14">
      <c r="C60" s="57" t="s">
        <v>73</v>
      </c>
      <c r="D60" s="57" t="s">
        <v>74</v>
      </c>
    </row>
    <row r="61" spans="2:14">
      <c r="B61" s="57" t="s">
        <v>68</v>
      </c>
      <c r="C61" s="57" t="s">
        <v>70</v>
      </c>
      <c r="D61" s="57" t="s">
        <v>72</v>
      </c>
      <c r="E61" s="57" t="s">
        <v>72</v>
      </c>
    </row>
    <row r="62" spans="2:14">
      <c r="B62">
        <v>18</v>
      </c>
      <c r="C62" s="4">
        <v>6.06602</v>
      </c>
      <c r="D62" s="61">
        <v>0.82062000000000002</v>
      </c>
      <c r="E62" s="4">
        <v>3.1699999999999999E-2</v>
      </c>
      <c r="G62" s="4"/>
      <c r="H62" s="4"/>
      <c r="I62" s="4"/>
    </row>
    <row r="63" spans="2:14">
      <c r="B63">
        <v>19</v>
      </c>
      <c r="C63" s="4">
        <v>6.1943099999999998</v>
      </c>
      <c r="D63" s="61">
        <v>0.84809000000000001</v>
      </c>
      <c r="E63" s="4">
        <v>3.2969999999999999E-2</v>
      </c>
      <c r="G63" s="4"/>
      <c r="H63" s="4"/>
      <c r="I63" s="4"/>
    </row>
    <row r="64" spans="2:14">
      <c r="B64">
        <v>20</v>
      </c>
      <c r="C64" s="4">
        <v>6.3226599999999999</v>
      </c>
      <c r="D64" s="61">
        <v>0.87648999999999999</v>
      </c>
      <c r="E64" s="4">
        <v>3.4270000000000002E-2</v>
      </c>
      <c r="G64" s="4"/>
      <c r="H64" s="4"/>
      <c r="I64" s="4"/>
    </row>
    <row r="65" spans="2:9">
      <c r="B65">
        <v>21</v>
      </c>
      <c r="C65" s="4">
        <v>6.4525399999999999</v>
      </c>
      <c r="D65" s="61">
        <v>0.90130999999999994</v>
      </c>
      <c r="E65" s="4">
        <v>3.5310000000000001E-2</v>
      </c>
      <c r="G65" s="4"/>
      <c r="H65" s="4"/>
      <c r="I65" s="4"/>
    </row>
    <row r="66" spans="2:9">
      <c r="B66">
        <v>22</v>
      </c>
      <c r="C66" s="4">
        <v>6.5860399999999997</v>
      </c>
      <c r="D66" s="61">
        <v>0.93122000000000005</v>
      </c>
      <c r="E66" s="4">
        <v>3.6659999999999998E-2</v>
      </c>
      <c r="G66" s="4"/>
      <c r="H66" s="4"/>
      <c r="I66" s="4"/>
    </row>
    <row r="67" spans="2:9">
      <c r="B67">
        <v>23</v>
      </c>
      <c r="C67" s="4">
        <v>6.7247899999999996</v>
      </c>
      <c r="D67" s="61">
        <v>0.96177000000000001</v>
      </c>
      <c r="E67" s="4">
        <v>3.7990000000000003E-2</v>
      </c>
      <c r="G67" s="4"/>
      <c r="H67" s="4"/>
      <c r="I67" s="4"/>
    </row>
    <row r="68" spans="2:9">
      <c r="B68">
        <v>24</v>
      </c>
      <c r="C68" s="4">
        <v>6.8799299999999999</v>
      </c>
      <c r="D68" s="61">
        <v>0.98772000000000004</v>
      </c>
      <c r="E68" s="4">
        <v>3.8940000000000002E-2</v>
      </c>
      <c r="G68" s="4"/>
      <c r="H68" s="4"/>
      <c r="I68" s="4"/>
    </row>
    <row r="69" spans="2:9">
      <c r="B69">
        <v>25</v>
      </c>
      <c r="C69" s="4">
        <v>7.0218400000000001</v>
      </c>
      <c r="D69" s="61">
        <v>1.0194000000000001</v>
      </c>
      <c r="E69" s="4">
        <v>4.0169999999999997E-2</v>
      </c>
      <c r="G69" s="4"/>
      <c r="H69" s="4"/>
      <c r="I69" s="4"/>
    </row>
    <row r="70" spans="2:9">
      <c r="B70">
        <v>26</v>
      </c>
      <c r="C70" s="4">
        <v>7.1682100000000002</v>
      </c>
      <c r="D70" s="61">
        <v>1.0514600000000001</v>
      </c>
      <c r="E70" s="4">
        <v>4.1300000000000003E-2</v>
      </c>
      <c r="G70" s="4"/>
      <c r="H70" s="4"/>
      <c r="I70" s="4"/>
    </row>
    <row r="71" spans="2:9">
      <c r="B71">
        <v>27</v>
      </c>
      <c r="C71" s="4">
        <v>7.3328899999999999</v>
      </c>
      <c r="D71" s="61">
        <v>1.0782400000000001</v>
      </c>
      <c r="E71" s="4">
        <v>4.1950000000000001E-2</v>
      </c>
      <c r="G71" s="4"/>
      <c r="H71" s="4"/>
      <c r="I71" s="4"/>
    </row>
    <row r="72" spans="2:9">
      <c r="B72">
        <v>28</v>
      </c>
      <c r="C72" s="4">
        <v>7.4831200000000004</v>
      </c>
      <c r="D72" s="61">
        <v>1.1108800000000001</v>
      </c>
      <c r="E72" s="4">
        <v>4.2799999999999998E-2</v>
      </c>
      <c r="G72" s="4"/>
      <c r="H72" s="4"/>
      <c r="I72" s="4"/>
    </row>
    <row r="73" spans="2:9">
      <c r="B73">
        <v>29</v>
      </c>
      <c r="C73" s="4">
        <v>7.6380100000000004</v>
      </c>
      <c r="D73" s="61">
        <v>1.14367</v>
      </c>
      <c r="E73" s="4">
        <v>4.3459999999999999E-2</v>
      </c>
      <c r="G73" s="4"/>
      <c r="H73" s="4"/>
      <c r="I73" s="4"/>
    </row>
    <row r="74" spans="2:9">
      <c r="B74">
        <v>30</v>
      </c>
      <c r="C74" s="4">
        <v>7.8118800000000004</v>
      </c>
      <c r="D74" s="61">
        <v>1.1705099999999999</v>
      </c>
      <c r="E74" s="4">
        <v>4.3540000000000002E-2</v>
      </c>
      <c r="G74" s="4"/>
      <c r="H74" s="4"/>
      <c r="I74" s="4"/>
    </row>
    <row r="75" spans="2:9">
      <c r="B75">
        <v>31</v>
      </c>
      <c r="C75" s="4">
        <v>7.9692600000000002</v>
      </c>
      <c r="D75" s="61">
        <v>1.2034800000000001</v>
      </c>
      <c r="E75" s="4">
        <v>4.3770000000000003E-2</v>
      </c>
      <c r="G75" s="4"/>
      <c r="H75" s="4"/>
      <c r="I75" s="4"/>
    </row>
    <row r="76" spans="2:9">
      <c r="B76">
        <v>32</v>
      </c>
      <c r="C76" s="4">
        <v>8.1315000000000008</v>
      </c>
      <c r="D76" s="61">
        <v>1.2364200000000001</v>
      </c>
      <c r="E76" s="4">
        <v>4.3729999999999998E-2</v>
      </c>
      <c r="G76" s="4"/>
      <c r="H76" s="4"/>
      <c r="I76" s="4"/>
    </row>
    <row r="77" spans="2:9">
      <c r="B77">
        <v>33</v>
      </c>
      <c r="C77" s="4">
        <v>8.3153000000000006</v>
      </c>
      <c r="D77" s="61">
        <v>1.26291</v>
      </c>
      <c r="E77" s="4">
        <v>4.3060000000000001E-2</v>
      </c>
      <c r="G77" s="4"/>
      <c r="H77" s="4"/>
      <c r="I77" s="4"/>
    </row>
    <row r="78" spans="2:9">
      <c r="B78">
        <v>34</v>
      </c>
      <c r="C78" s="4">
        <v>8.4810800000000004</v>
      </c>
      <c r="D78" s="61">
        <v>1.2958099999999999</v>
      </c>
      <c r="E78" s="4">
        <v>4.2509999999999999E-2</v>
      </c>
      <c r="G78" s="4"/>
      <c r="H78" s="4"/>
      <c r="I78" s="4"/>
    </row>
    <row r="79" spans="2:9">
      <c r="B79">
        <v>35</v>
      </c>
      <c r="C79" s="4">
        <v>8.6531900000000004</v>
      </c>
      <c r="D79" s="61">
        <v>1.32856</v>
      </c>
      <c r="E79" s="4">
        <v>4.1700000000000001E-2</v>
      </c>
      <c r="G79" s="4"/>
      <c r="H79" s="4"/>
      <c r="I79" s="4"/>
    </row>
    <row r="80" spans="2:9">
      <c r="B80">
        <v>36</v>
      </c>
      <c r="C80" s="4">
        <v>8.8467000000000002</v>
      </c>
      <c r="D80" s="61">
        <v>1.3544799999999999</v>
      </c>
      <c r="E80" s="4">
        <v>4.0289999999999999E-2</v>
      </c>
      <c r="G80" s="4"/>
      <c r="H80" s="4"/>
      <c r="I80" s="4"/>
    </row>
    <row r="81" spans="2:9">
      <c r="B81">
        <v>37</v>
      </c>
      <c r="C81" s="4">
        <v>9.0214099999999995</v>
      </c>
      <c r="D81" s="61">
        <v>1.38707</v>
      </c>
      <c r="E81" s="4">
        <v>3.9010000000000003E-2</v>
      </c>
      <c r="G81" s="4"/>
      <c r="H81" s="4"/>
      <c r="I81" s="4"/>
    </row>
    <row r="82" spans="2:9">
      <c r="B82">
        <v>38</v>
      </c>
      <c r="C82" s="4">
        <v>9.2012999999999998</v>
      </c>
      <c r="D82" s="61">
        <v>1.41944</v>
      </c>
      <c r="E82" s="4">
        <v>3.7510000000000002E-2</v>
      </c>
      <c r="G82" s="4"/>
      <c r="H82" s="4"/>
      <c r="I82" s="4"/>
    </row>
    <row r="83" spans="2:9">
      <c r="B83">
        <v>39</v>
      </c>
      <c r="C83" s="4">
        <v>9.40503</v>
      </c>
      <c r="D83" s="61">
        <v>1.44462</v>
      </c>
      <c r="E83" s="4">
        <v>3.5520000000000003E-2</v>
      </c>
      <c r="G83" s="4"/>
      <c r="H83" s="4"/>
      <c r="I83" s="4"/>
    </row>
    <row r="84" spans="2:9">
      <c r="B84">
        <v>40</v>
      </c>
      <c r="C84" s="4">
        <v>9.5882000000000005</v>
      </c>
      <c r="D84" s="61">
        <v>1.47665</v>
      </c>
      <c r="E84" s="4">
        <v>3.3709999999999997E-2</v>
      </c>
      <c r="G84" s="4"/>
      <c r="H84" s="4"/>
      <c r="I84" s="4"/>
    </row>
    <row r="85" spans="2:9">
      <c r="B85">
        <v>41</v>
      </c>
      <c r="C85" s="4">
        <v>9.8053899999999992</v>
      </c>
      <c r="D85" s="61">
        <v>1.50752</v>
      </c>
      <c r="E85" s="4">
        <v>3.1759999999999997E-2</v>
      </c>
      <c r="G85" s="4"/>
      <c r="H85" s="4"/>
      <c r="I85" s="4"/>
    </row>
    <row r="86" spans="2:9">
      <c r="B86">
        <v>42</v>
      </c>
      <c r="C86" s="4">
        <v>10.01946</v>
      </c>
      <c r="D86" s="61">
        <v>1.53169</v>
      </c>
      <c r="E86" s="4">
        <v>2.947E-2</v>
      </c>
      <c r="G86" s="4"/>
      <c r="H86" s="4"/>
      <c r="I86" s="4"/>
    </row>
    <row r="87" spans="2:9">
      <c r="B87">
        <v>43</v>
      </c>
      <c r="C87" s="4">
        <v>10.21424</v>
      </c>
      <c r="D87" s="61">
        <v>1.5626800000000001</v>
      </c>
      <c r="E87" s="4">
        <v>2.742E-2</v>
      </c>
      <c r="G87" s="4"/>
      <c r="H87" s="4"/>
      <c r="I87" s="4"/>
    </row>
    <row r="88" spans="2:9">
      <c r="B88">
        <v>44</v>
      </c>
      <c r="C88" s="4">
        <v>10.407209999999999</v>
      </c>
      <c r="D88" s="61">
        <v>1.59337</v>
      </c>
      <c r="E88" s="4">
        <v>2.5340000000000001E-2</v>
      </c>
      <c r="G88" s="4"/>
      <c r="H88" s="4"/>
      <c r="I88" s="4"/>
    </row>
    <row r="89" spans="2:9">
      <c r="B89">
        <v>45</v>
      </c>
      <c r="C89" s="4">
        <v>10.631959999999999</v>
      </c>
      <c r="D89" s="61">
        <v>1.61605</v>
      </c>
      <c r="E89" s="4">
        <v>2.307E-2</v>
      </c>
      <c r="G89" s="4"/>
      <c r="H89" s="4"/>
      <c r="I89" s="4"/>
    </row>
    <row r="90" spans="2:9">
      <c r="B90">
        <v>46</v>
      </c>
      <c r="C90" s="4">
        <v>10.86983</v>
      </c>
      <c r="D90" s="61">
        <v>1.6445399999999999</v>
      </c>
      <c r="E90" s="4">
        <v>2.102E-2</v>
      </c>
      <c r="G90" s="4"/>
      <c r="H90" s="4"/>
      <c r="I90" s="4"/>
    </row>
    <row r="91" spans="2:9">
      <c r="B91">
        <v>47</v>
      </c>
      <c r="C91" s="4">
        <v>11.07319</v>
      </c>
      <c r="D91" s="61">
        <v>1.67333</v>
      </c>
      <c r="E91" s="4">
        <v>1.907E-2</v>
      </c>
      <c r="G91" s="4"/>
      <c r="H91" s="4"/>
      <c r="I91" s="4"/>
    </row>
    <row r="92" spans="2:9">
      <c r="B92">
        <v>48</v>
      </c>
      <c r="C92" s="4">
        <v>11.314209999999999</v>
      </c>
      <c r="D92" s="61">
        <v>1.69356</v>
      </c>
      <c r="E92" s="4">
        <v>1.7010000000000001E-2</v>
      </c>
      <c r="G92" s="4"/>
      <c r="H92" s="4"/>
      <c r="I92" s="4"/>
    </row>
    <row r="93" spans="2:9">
      <c r="B93">
        <v>49</v>
      </c>
      <c r="C93" s="4">
        <v>11.52467</v>
      </c>
      <c r="D93" s="61">
        <v>1.7204999999999999</v>
      </c>
      <c r="E93" s="4">
        <v>1.524E-2</v>
      </c>
      <c r="G93" s="4"/>
      <c r="H93" s="4"/>
      <c r="I93" s="4"/>
    </row>
    <row r="94" spans="2:9">
      <c r="B94">
        <v>50</v>
      </c>
      <c r="C94" s="4">
        <v>11.78125</v>
      </c>
      <c r="D94" s="61">
        <v>1.7451399999999999</v>
      </c>
      <c r="E94" s="4">
        <v>1.355E-2</v>
      </c>
      <c r="G94" s="4"/>
      <c r="H94" s="4"/>
      <c r="I94" s="4"/>
    </row>
    <row r="95" spans="2:9">
      <c r="B95">
        <v>51</v>
      </c>
      <c r="C95" s="4">
        <v>12.03378</v>
      </c>
      <c r="D95" s="61">
        <v>1.7620199999999999</v>
      </c>
      <c r="E95" s="4">
        <v>1.189E-2</v>
      </c>
      <c r="G95" s="4"/>
      <c r="H95" s="4"/>
      <c r="I95" s="4"/>
    </row>
    <row r="96" spans="2:9">
      <c r="B96">
        <v>52</v>
      </c>
      <c r="C96" s="4">
        <v>12.260870000000001</v>
      </c>
      <c r="D96" s="61">
        <v>1.7849200000000001</v>
      </c>
      <c r="E96" s="4">
        <v>1.0449999999999999E-2</v>
      </c>
      <c r="G96" s="4"/>
      <c r="H96" s="4"/>
      <c r="I96" s="4"/>
    </row>
    <row r="97" spans="2:9">
      <c r="B97">
        <v>53</v>
      </c>
      <c r="C97" s="4">
        <v>12.49757</v>
      </c>
      <c r="D97" s="61">
        <v>1.80599</v>
      </c>
      <c r="E97" s="4">
        <v>9.1299999999999992E-3</v>
      </c>
      <c r="G97" s="4"/>
      <c r="H97" s="4"/>
      <c r="I97" s="4"/>
    </row>
    <row r="98" spans="2:9">
      <c r="B98">
        <v>54</v>
      </c>
      <c r="C98" s="4">
        <v>12.81148</v>
      </c>
      <c r="D98" s="61">
        <v>1.8168</v>
      </c>
      <c r="E98" s="4">
        <v>7.8499999999999993E-3</v>
      </c>
      <c r="G98" s="4"/>
      <c r="H98" s="4"/>
      <c r="I98" s="4"/>
    </row>
    <row r="99" spans="2:9">
      <c r="B99">
        <v>55</v>
      </c>
      <c r="C99" s="4">
        <v>13.06329</v>
      </c>
      <c r="D99" s="61">
        <v>1.8337600000000001</v>
      </c>
      <c r="E99" s="4">
        <v>6.79E-3</v>
      </c>
      <c r="G99" s="4"/>
      <c r="H99" s="4"/>
      <c r="I99" s="4"/>
    </row>
    <row r="100" spans="2:9">
      <c r="B100">
        <v>56</v>
      </c>
      <c r="C100" s="4">
        <v>13.364459999999999</v>
      </c>
      <c r="D100" s="61">
        <v>1.8473900000000001</v>
      </c>
      <c r="E100" s="4">
        <v>5.8100000000000001E-3</v>
      </c>
      <c r="G100" s="4"/>
      <c r="H100" s="4"/>
      <c r="I100" s="4"/>
    </row>
    <row r="101" spans="2:9">
      <c r="B101">
        <v>57</v>
      </c>
      <c r="C101" s="4">
        <v>13.72373</v>
      </c>
      <c r="D101" s="61">
        <v>1.8510599999999999</v>
      </c>
      <c r="E101" s="4">
        <v>4.9300000000000004E-3</v>
      </c>
      <c r="G101" s="4"/>
      <c r="H101" s="4"/>
      <c r="I101" s="4"/>
    </row>
    <row r="102" spans="2:9">
      <c r="B102">
        <v>58</v>
      </c>
      <c r="C102" s="4">
        <v>14.007860000000001</v>
      </c>
      <c r="D102" s="61">
        <v>1.86012</v>
      </c>
      <c r="E102" s="4">
        <v>4.15E-3</v>
      </c>
      <c r="G102" s="4"/>
      <c r="H102" s="4"/>
      <c r="I102" s="4"/>
    </row>
    <row r="103" spans="2:9">
      <c r="B103">
        <v>59</v>
      </c>
      <c r="C103" s="4">
        <v>14.36725</v>
      </c>
      <c r="D103" s="61">
        <v>1.8647199999999999</v>
      </c>
      <c r="E103" s="4">
        <v>3.5000000000000001E-3</v>
      </c>
      <c r="G103" s="4"/>
      <c r="H103" s="4"/>
      <c r="I103" s="4"/>
    </row>
    <row r="104" spans="2:9">
      <c r="B104">
        <v>60</v>
      </c>
      <c r="C104" s="4">
        <v>14.66722</v>
      </c>
      <c r="D104" s="61">
        <v>1.8612500000000001</v>
      </c>
      <c r="E104" s="4">
        <v>2.8900000000000002E-3</v>
      </c>
      <c r="G104" s="4"/>
      <c r="H104" s="4"/>
      <c r="I104" s="4"/>
    </row>
    <row r="105" spans="2:9">
      <c r="B105">
        <v>61</v>
      </c>
      <c r="C105" s="4">
        <v>14.945600000000001</v>
      </c>
      <c r="D105" s="61">
        <v>1.8607</v>
      </c>
      <c r="E105" s="4">
        <v>2.3999999999999998E-3</v>
      </c>
      <c r="G105" s="4"/>
      <c r="H105" s="4"/>
      <c r="I105" s="4"/>
    </row>
    <row r="106" spans="2:9">
      <c r="B106">
        <v>62</v>
      </c>
      <c r="C106" s="4">
        <v>15.44064</v>
      </c>
      <c r="D106" s="61">
        <v>1.8526199999999999</v>
      </c>
      <c r="E106" s="4">
        <v>1.9499999999999999E-3</v>
      </c>
      <c r="G106" s="4"/>
      <c r="H106" s="4"/>
      <c r="I106" s="4"/>
    </row>
    <row r="107" spans="2:9">
      <c r="B107">
        <v>63</v>
      </c>
      <c r="C107" s="4">
        <v>16.026910000000001</v>
      </c>
      <c r="D107" s="61">
        <v>1.8341000000000001</v>
      </c>
      <c r="E107" s="4">
        <v>1.57E-3</v>
      </c>
      <c r="G107" s="4"/>
      <c r="H107" s="4"/>
      <c r="I107" s="4"/>
    </row>
    <row r="108" spans="2:9">
      <c r="B108">
        <v>64</v>
      </c>
      <c r="C108" s="4">
        <v>16.634209999999999</v>
      </c>
      <c r="D108" s="61">
        <v>1.8169900000000001</v>
      </c>
      <c r="E108" s="4">
        <v>1.23E-3</v>
      </c>
      <c r="G108" s="4"/>
      <c r="H108" s="4"/>
      <c r="I108" s="4"/>
    </row>
    <row r="109" spans="2:9">
      <c r="B109">
        <v>65</v>
      </c>
      <c r="C109" s="4">
        <v>16.370609999999999</v>
      </c>
      <c r="D109" s="61">
        <v>1.8074399999999999</v>
      </c>
      <c r="E109" s="4">
        <v>9.8999999999999999E-4</v>
      </c>
      <c r="G109" s="4"/>
      <c r="H109" s="4"/>
      <c r="I109" s="4"/>
    </row>
    <row r="110" spans="2:9">
      <c r="B110">
        <v>66</v>
      </c>
      <c r="C110" s="4">
        <v>15.93234</v>
      </c>
      <c r="D110" s="61">
        <v>1.7903899999999999</v>
      </c>
      <c r="E110" s="4">
        <v>7.3999999999999999E-4</v>
      </c>
      <c r="G110" s="4"/>
      <c r="H110" s="4"/>
      <c r="I110" s="4"/>
    </row>
    <row r="111" spans="2:9">
      <c r="B111">
        <v>67</v>
      </c>
      <c r="C111" s="4">
        <v>15.4491</v>
      </c>
      <c r="D111" s="61">
        <v>1.7729999999999999</v>
      </c>
      <c r="E111" s="4">
        <v>5.6999999999999998E-4</v>
      </c>
      <c r="G111" s="4"/>
      <c r="H111" s="4"/>
      <c r="I111" s="4"/>
    </row>
    <row r="112" spans="2:9">
      <c r="B112">
        <v>68</v>
      </c>
      <c r="C112" s="4">
        <v>14.96097</v>
      </c>
      <c r="D112" s="61">
        <v>1.7496799999999999</v>
      </c>
      <c r="E112" s="4">
        <v>3.8999999999999999E-4</v>
      </c>
      <c r="G112" s="4"/>
      <c r="H112" s="4"/>
      <c r="I112" s="4"/>
    </row>
    <row r="113" spans="2:9">
      <c r="B113">
        <v>69</v>
      </c>
      <c r="C113" s="4">
        <v>14.50919</v>
      </c>
      <c r="D113" s="61">
        <v>1.71621</v>
      </c>
      <c r="E113" s="4">
        <v>2.7E-4</v>
      </c>
      <c r="G113" s="4"/>
      <c r="H113" s="4"/>
      <c r="I113" s="4"/>
    </row>
    <row r="114" spans="2:9">
      <c r="B114">
        <v>70</v>
      </c>
      <c r="C114" s="4">
        <v>14.002129999999999</v>
      </c>
      <c r="D114" s="61">
        <v>1.6867000000000001</v>
      </c>
      <c r="E114" s="4">
        <v>1.4999999999999999E-4</v>
      </c>
      <c r="G114" s="4"/>
      <c r="H114" s="4"/>
      <c r="I114" s="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4"/>
  <dimension ref="B1:P114"/>
  <sheetViews>
    <sheetView workbookViewId="0"/>
  </sheetViews>
  <sheetFormatPr defaultColWidth="9.140625" defaultRowHeight="12.75"/>
  <cols>
    <col min="2" max="2" width="10.140625" bestFit="1" customWidth="1"/>
    <col min="8" max="8" width="13.7109375" bestFit="1" customWidth="1"/>
    <col min="9" max="9" width="10.5703125" bestFit="1" customWidth="1"/>
    <col min="11" max="11" width="13.85546875" bestFit="1" customWidth="1"/>
    <col min="12" max="12" width="13.7109375" bestFit="1" customWidth="1"/>
  </cols>
  <sheetData>
    <row r="1" spans="2:16">
      <c r="B1" s="65" t="s">
        <v>147</v>
      </c>
      <c r="D1" s="59"/>
    </row>
    <row r="2" spans="2:16">
      <c r="B2">
        <v>2022</v>
      </c>
      <c r="D2" s="69"/>
    </row>
    <row r="3" spans="2:16">
      <c r="B3" s="57"/>
      <c r="D3" s="69"/>
      <c r="G3" s="57" t="s">
        <v>67</v>
      </c>
    </row>
    <row r="4" spans="2:16">
      <c r="B4" s="57" t="s">
        <v>68</v>
      </c>
      <c r="C4" s="57" t="s">
        <v>69</v>
      </c>
      <c r="D4" s="57"/>
      <c r="F4" s="57" t="s">
        <v>68</v>
      </c>
      <c r="G4" s="57" t="s">
        <v>70</v>
      </c>
      <c r="H4" s="57" t="s">
        <v>71</v>
      </c>
      <c r="I4" s="57" t="s">
        <v>72</v>
      </c>
    </row>
    <row r="5" spans="2:16">
      <c r="B5">
        <v>18</v>
      </c>
      <c r="C5" s="4">
        <v>6.0204899999999997</v>
      </c>
      <c r="D5" s="4"/>
      <c r="F5">
        <v>18</v>
      </c>
      <c r="G5" s="4">
        <v>5.2242499999999996</v>
      </c>
      <c r="H5" s="4">
        <v>0.65593000000000001</v>
      </c>
      <c r="I5" s="4">
        <v>0.14030999999999999</v>
      </c>
      <c r="K5" s="4"/>
      <c r="L5" s="4"/>
      <c r="M5" s="4"/>
      <c r="N5" s="4"/>
      <c r="O5" s="4"/>
      <c r="P5" s="4"/>
    </row>
    <row r="6" spans="2:16">
      <c r="B6">
        <v>19</v>
      </c>
      <c r="C6" s="4">
        <v>6.1413700000000002</v>
      </c>
      <c r="D6" s="4"/>
      <c r="F6">
        <v>19</v>
      </c>
      <c r="G6" s="4">
        <v>5.3231599999999997</v>
      </c>
      <c r="H6" s="4">
        <v>0.67257</v>
      </c>
      <c r="I6" s="4">
        <v>0.14563999999999999</v>
      </c>
      <c r="K6" s="4"/>
      <c r="L6" s="4"/>
      <c r="M6" s="4"/>
      <c r="N6" s="4"/>
      <c r="O6" s="4"/>
      <c r="P6" s="4"/>
    </row>
    <row r="7" spans="2:16">
      <c r="B7">
        <v>20</v>
      </c>
      <c r="C7" s="4">
        <v>6.2796599999999998</v>
      </c>
      <c r="D7" s="4"/>
      <c r="F7">
        <v>20</v>
      </c>
      <c r="G7" s="4">
        <v>5.4478299999999997</v>
      </c>
      <c r="H7" s="4">
        <v>0.68210000000000004</v>
      </c>
      <c r="I7" s="4">
        <v>0.14973</v>
      </c>
      <c r="K7" s="4"/>
      <c r="L7" s="4"/>
      <c r="M7" s="4"/>
      <c r="N7" s="4"/>
      <c r="O7" s="4"/>
      <c r="P7" s="4"/>
    </row>
    <row r="8" spans="2:16">
      <c r="B8">
        <v>21</v>
      </c>
      <c r="C8" s="4">
        <v>6.4068399999999999</v>
      </c>
      <c r="D8" s="4"/>
      <c r="F8">
        <v>21</v>
      </c>
      <c r="G8" s="4">
        <v>5.5603999999999996</v>
      </c>
      <c r="H8" s="4">
        <v>0.69150999999999996</v>
      </c>
      <c r="I8" s="4">
        <v>0.15493000000000001</v>
      </c>
      <c r="K8" s="4"/>
      <c r="L8" s="4"/>
      <c r="M8" s="4"/>
      <c r="N8" s="4"/>
      <c r="O8" s="4"/>
      <c r="P8" s="4"/>
    </row>
    <row r="9" spans="2:16">
      <c r="B9">
        <v>22</v>
      </c>
      <c r="C9" s="4">
        <v>6.5360100000000001</v>
      </c>
      <c r="D9" s="4"/>
      <c r="F9">
        <v>22</v>
      </c>
      <c r="G9" s="4">
        <v>5.6749299999999998</v>
      </c>
      <c r="H9" s="4">
        <v>0.70079999999999998</v>
      </c>
      <c r="I9" s="4">
        <v>0.16028000000000001</v>
      </c>
      <c r="K9" s="4"/>
      <c r="L9" s="4"/>
      <c r="M9" s="4"/>
      <c r="N9" s="4"/>
      <c r="O9" s="4"/>
      <c r="P9" s="4"/>
    </row>
    <row r="10" spans="2:16">
      <c r="B10">
        <v>23</v>
      </c>
      <c r="C10" s="4">
        <v>6.68222</v>
      </c>
      <c r="D10" s="4"/>
      <c r="F10">
        <v>23</v>
      </c>
      <c r="G10" s="4">
        <v>5.8076499999999998</v>
      </c>
      <c r="H10" s="4">
        <v>0.70987999999999996</v>
      </c>
      <c r="I10" s="4">
        <v>0.16469</v>
      </c>
      <c r="K10" s="4"/>
      <c r="L10" s="4"/>
      <c r="M10" s="4"/>
      <c r="N10" s="4"/>
      <c r="O10" s="4"/>
      <c r="P10" s="4"/>
    </row>
    <row r="11" spans="2:16">
      <c r="B11">
        <v>24</v>
      </c>
      <c r="C11" s="4">
        <v>6.8163900000000002</v>
      </c>
      <c r="D11" s="4"/>
      <c r="F11">
        <v>24</v>
      </c>
      <c r="G11" s="4">
        <v>5.9273600000000002</v>
      </c>
      <c r="H11" s="4">
        <v>0.71875</v>
      </c>
      <c r="I11" s="4">
        <v>0.17027999999999999</v>
      </c>
      <c r="K11" s="4"/>
      <c r="L11" s="4"/>
      <c r="M11" s="4"/>
      <c r="N11" s="4"/>
      <c r="O11" s="4"/>
      <c r="P11" s="4"/>
    </row>
    <row r="12" spans="2:16">
      <c r="B12">
        <v>25</v>
      </c>
      <c r="C12" s="4">
        <v>6.9532600000000002</v>
      </c>
      <c r="D12" s="4"/>
      <c r="F12">
        <v>25</v>
      </c>
      <c r="G12" s="4">
        <v>6.0499299999999998</v>
      </c>
      <c r="H12" s="4">
        <v>0.72733999999999999</v>
      </c>
      <c r="I12" s="4">
        <v>0.17599000000000001</v>
      </c>
      <c r="K12" s="4"/>
      <c r="L12" s="4"/>
      <c r="M12" s="4"/>
      <c r="N12" s="4"/>
      <c r="O12" s="4"/>
      <c r="P12" s="4"/>
    </row>
    <row r="13" spans="2:16">
      <c r="B13">
        <v>26</v>
      </c>
      <c r="C13" s="4">
        <v>7.10825</v>
      </c>
      <c r="D13" s="4"/>
      <c r="F13">
        <v>26</v>
      </c>
      <c r="G13" s="4">
        <v>6.1920099999999998</v>
      </c>
      <c r="H13" s="4">
        <v>0.73562000000000005</v>
      </c>
      <c r="I13" s="4">
        <v>0.18062</v>
      </c>
      <c r="K13" s="4"/>
      <c r="L13" s="4"/>
      <c r="M13" s="4"/>
      <c r="N13" s="4"/>
      <c r="O13" s="4"/>
      <c r="P13" s="4"/>
    </row>
    <row r="14" spans="2:16">
      <c r="B14">
        <v>27</v>
      </c>
      <c r="C14" s="4">
        <v>7.2506700000000004</v>
      </c>
      <c r="D14" s="4"/>
      <c r="F14">
        <v>27</v>
      </c>
      <c r="G14" s="4">
        <v>6.3206699999999998</v>
      </c>
      <c r="H14" s="4">
        <v>0.74353000000000002</v>
      </c>
      <c r="I14" s="4">
        <v>0.18647</v>
      </c>
      <c r="K14" s="4"/>
      <c r="L14" s="4"/>
      <c r="M14" s="4"/>
      <c r="N14" s="4"/>
      <c r="O14" s="4"/>
      <c r="P14" s="4"/>
    </row>
    <row r="15" spans="2:16">
      <c r="B15">
        <v>28</v>
      </c>
      <c r="C15" s="4">
        <v>7.4034399999999998</v>
      </c>
      <c r="D15" s="4"/>
      <c r="F15">
        <v>28</v>
      </c>
      <c r="G15" s="4">
        <v>6.4589600000000003</v>
      </c>
      <c r="H15" s="4">
        <v>0.75187000000000004</v>
      </c>
      <c r="I15" s="4">
        <v>0.19261</v>
      </c>
      <c r="K15" s="4"/>
      <c r="L15" s="4"/>
      <c r="M15" s="4"/>
      <c r="N15" s="4"/>
      <c r="O15" s="4"/>
      <c r="P15" s="4"/>
    </row>
    <row r="16" spans="2:16">
      <c r="B16">
        <v>29</v>
      </c>
      <c r="C16" s="4">
        <v>7.5667600000000004</v>
      </c>
      <c r="D16" s="4"/>
      <c r="F16">
        <v>29</v>
      </c>
      <c r="G16" s="4">
        <v>6.6105799999999997</v>
      </c>
      <c r="H16" s="4">
        <v>0.75885999999999998</v>
      </c>
      <c r="I16" s="4">
        <v>0.19732</v>
      </c>
      <c r="K16" s="4"/>
      <c r="L16" s="4"/>
      <c r="M16" s="4"/>
      <c r="N16" s="4"/>
      <c r="O16" s="4"/>
      <c r="P16" s="4"/>
    </row>
    <row r="17" spans="2:16">
      <c r="B17">
        <v>30</v>
      </c>
      <c r="C17" s="4">
        <v>7.7157</v>
      </c>
      <c r="D17" s="4"/>
      <c r="F17">
        <v>30</v>
      </c>
      <c r="G17" s="4">
        <v>6.7471300000000003</v>
      </c>
      <c r="H17" s="4">
        <v>0.76527000000000001</v>
      </c>
      <c r="I17" s="4">
        <v>0.20330000000000001</v>
      </c>
      <c r="K17" s="4"/>
      <c r="L17" s="4"/>
      <c r="M17" s="4"/>
      <c r="N17" s="4"/>
      <c r="O17" s="4"/>
      <c r="P17" s="4"/>
    </row>
    <row r="18" spans="2:16">
      <c r="B18">
        <v>31</v>
      </c>
      <c r="C18" s="4">
        <v>7.8754</v>
      </c>
      <c r="D18" s="4"/>
      <c r="F18">
        <v>31</v>
      </c>
      <c r="G18" s="4">
        <v>6.8939399999999997</v>
      </c>
      <c r="H18" s="4">
        <v>0.77190000000000003</v>
      </c>
      <c r="I18" s="4">
        <v>0.20956</v>
      </c>
      <c r="K18" s="4"/>
      <c r="L18" s="4"/>
      <c r="M18" s="4"/>
      <c r="N18" s="4"/>
      <c r="O18" s="4"/>
      <c r="P18" s="4"/>
    </row>
    <row r="19" spans="2:16">
      <c r="B19">
        <v>32</v>
      </c>
      <c r="C19" s="4">
        <v>8.04758</v>
      </c>
      <c r="D19" s="4"/>
      <c r="F19">
        <v>32</v>
      </c>
      <c r="G19" s="4">
        <v>7.0564200000000001</v>
      </c>
      <c r="H19" s="4">
        <v>0.77693000000000001</v>
      </c>
      <c r="I19" s="4">
        <v>0.21423</v>
      </c>
      <c r="K19" s="4"/>
      <c r="L19" s="4"/>
      <c r="M19" s="4"/>
      <c r="N19" s="4"/>
      <c r="O19" s="4"/>
      <c r="P19" s="4"/>
    </row>
    <row r="20" spans="2:16">
      <c r="B20">
        <v>33</v>
      </c>
      <c r="C20" s="4">
        <v>8.2133400000000005</v>
      </c>
      <c r="D20" s="4"/>
      <c r="F20">
        <v>33</v>
      </c>
      <c r="G20" s="4">
        <v>7.21082</v>
      </c>
      <c r="H20" s="4">
        <v>0.78200999999999998</v>
      </c>
      <c r="I20" s="4">
        <v>0.2205</v>
      </c>
      <c r="K20" s="4"/>
      <c r="L20" s="4"/>
      <c r="M20" s="4"/>
      <c r="N20" s="4"/>
      <c r="O20" s="4"/>
      <c r="P20" s="4"/>
    </row>
    <row r="21" spans="2:16">
      <c r="B21">
        <v>34</v>
      </c>
      <c r="C21" s="4">
        <v>8.3717500000000005</v>
      </c>
      <c r="D21" s="4"/>
      <c r="F21">
        <v>34</v>
      </c>
      <c r="G21" s="4">
        <v>7.3599399999999999</v>
      </c>
      <c r="H21" s="4">
        <v>0.78527999999999998</v>
      </c>
      <c r="I21" s="4">
        <v>0.22653000000000001</v>
      </c>
      <c r="K21" s="4"/>
      <c r="L21" s="4"/>
      <c r="M21" s="4"/>
      <c r="N21" s="4"/>
      <c r="O21" s="4"/>
      <c r="P21" s="4"/>
    </row>
    <row r="22" spans="2:16">
      <c r="B22">
        <v>35</v>
      </c>
      <c r="C22" s="4">
        <v>8.5618800000000004</v>
      </c>
      <c r="D22" s="4"/>
      <c r="F22">
        <v>35</v>
      </c>
      <c r="G22" s="4">
        <v>7.5421300000000002</v>
      </c>
      <c r="H22" s="4">
        <v>0.78837000000000002</v>
      </c>
      <c r="I22" s="4">
        <v>0.23138</v>
      </c>
      <c r="K22" s="4"/>
      <c r="L22" s="4"/>
      <c r="M22" s="4"/>
      <c r="N22" s="4"/>
      <c r="O22" s="4"/>
      <c r="P22" s="4"/>
    </row>
    <row r="23" spans="2:16">
      <c r="B23">
        <v>36</v>
      </c>
      <c r="C23" s="4">
        <v>8.7254400000000008</v>
      </c>
      <c r="D23" s="4"/>
      <c r="F23">
        <v>36</v>
      </c>
      <c r="G23" s="4">
        <v>7.69862</v>
      </c>
      <c r="H23" s="4">
        <v>0.78940999999999995</v>
      </c>
      <c r="I23" s="4">
        <v>0.2374</v>
      </c>
      <c r="K23" s="4"/>
      <c r="L23" s="4"/>
      <c r="M23" s="4"/>
      <c r="N23" s="4"/>
      <c r="O23" s="4"/>
      <c r="P23" s="4"/>
    </row>
    <row r="24" spans="2:16">
      <c r="B24">
        <v>37</v>
      </c>
      <c r="C24" s="4">
        <v>8.9017199999999992</v>
      </c>
      <c r="D24" s="4"/>
      <c r="F24">
        <v>37</v>
      </c>
      <c r="G24" s="4">
        <v>7.8679600000000001</v>
      </c>
      <c r="H24" s="4">
        <v>0.79005000000000003</v>
      </c>
      <c r="I24" s="4">
        <v>0.24371000000000001</v>
      </c>
      <c r="K24" s="4"/>
      <c r="L24" s="4"/>
      <c r="M24" s="4"/>
      <c r="N24" s="4"/>
      <c r="O24" s="4"/>
      <c r="P24" s="4"/>
    </row>
    <row r="25" spans="2:16">
      <c r="B25">
        <v>38</v>
      </c>
      <c r="C25" s="4">
        <v>9.1018899999999991</v>
      </c>
      <c r="D25" s="4"/>
      <c r="F25">
        <v>38</v>
      </c>
      <c r="G25" s="4">
        <v>8.0641800000000003</v>
      </c>
      <c r="H25" s="4">
        <v>0.78922999999999999</v>
      </c>
      <c r="I25" s="4">
        <v>0.24848999999999999</v>
      </c>
      <c r="K25" s="4"/>
      <c r="L25" s="4"/>
      <c r="M25" s="4"/>
      <c r="N25" s="4"/>
      <c r="O25" s="4"/>
      <c r="P25" s="4"/>
    </row>
    <row r="26" spans="2:16">
      <c r="B26">
        <v>39</v>
      </c>
      <c r="C26" s="4">
        <v>9.2845700000000004</v>
      </c>
      <c r="D26" s="4"/>
      <c r="F26">
        <v>39</v>
      </c>
      <c r="G26" s="4">
        <v>8.2429500000000004</v>
      </c>
      <c r="H26" s="4">
        <v>0.78681000000000001</v>
      </c>
      <c r="I26" s="4">
        <v>0.25480999999999998</v>
      </c>
      <c r="K26" s="4"/>
      <c r="L26" s="4"/>
      <c r="M26" s="4"/>
      <c r="N26" s="4"/>
      <c r="O26" s="4"/>
      <c r="P26" s="4"/>
    </row>
    <row r="27" spans="2:16">
      <c r="B27">
        <v>40</v>
      </c>
      <c r="C27" s="4">
        <v>9.4587599999999998</v>
      </c>
      <c r="D27" s="4"/>
      <c r="F27">
        <v>40</v>
      </c>
      <c r="G27" s="4">
        <v>8.4161400000000004</v>
      </c>
      <c r="H27" s="4">
        <v>0.78176000000000001</v>
      </c>
      <c r="I27" s="4">
        <v>0.26085999999999998</v>
      </c>
      <c r="K27" s="4"/>
      <c r="L27" s="4"/>
      <c r="M27" s="4"/>
      <c r="N27" s="4"/>
      <c r="O27" s="4"/>
      <c r="P27" s="4"/>
    </row>
    <row r="28" spans="2:16">
      <c r="B28">
        <v>41</v>
      </c>
      <c r="C28" s="4">
        <v>9.6681899999999992</v>
      </c>
      <c r="D28" s="4"/>
      <c r="F28">
        <v>41</v>
      </c>
      <c r="G28" s="4">
        <v>8.6269100000000005</v>
      </c>
      <c r="H28" s="4">
        <v>0.77564999999999995</v>
      </c>
      <c r="I28" s="4">
        <v>0.26562999999999998</v>
      </c>
      <c r="K28" s="4"/>
      <c r="L28" s="4"/>
      <c r="M28" s="4"/>
      <c r="N28" s="4"/>
      <c r="O28" s="4"/>
      <c r="P28" s="4"/>
    </row>
    <row r="29" spans="2:16">
      <c r="B29">
        <v>42</v>
      </c>
      <c r="C29" s="4">
        <v>9.8577200000000005</v>
      </c>
      <c r="D29" s="4"/>
      <c r="F29">
        <v>42</v>
      </c>
      <c r="G29" s="4">
        <v>8.8182700000000001</v>
      </c>
      <c r="H29" s="4">
        <v>0.76744999999999997</v>
      </c>
      <c r="I29" s="4">
        <v>0.27200999999999997</v>
      </c>
      <c r="K29" s="4"/>
      <c r="L29" s="4"/>
      <c r="M29" s="4"/>
      <c r="N29" s="4"/>
      <c r="O29" s="4"/>
      <c r="P29" s="4"/>
    </row>
    <row r="30" spans="2:16">
      <c r="B30">
        <v>43</v>
      </c>
      <c r="C30" s="4">
        <v>10.05622</v>
      </c>
      <c r="D30" s="4"/>
      <c r="F30">
        <v>43</v>
      </c>
      <c r="G30" s="4">
        <v>9.0314399999999999</v>
      </c>
      <c r="H30" s="4">
        <v>0.74716000000000005</v>
      </c>
      <c r="I30" s="4">
        <v>0.27762999999999999</v>
      </c>
      <c r="K30" s="4"/>
      <c r="L30" s="4"/>
      <c r="M30" s="4"/>
      <c r="N30" s="4"/>
      <c r="O30" s="4"/>
      <c r="P30" s="4"/>
    </row>
    <row r="31" spans="2:16">
      <c r="B31">
        <v>44</v>
      </c>
      <c r="C31" s="4">
        <v>10.27657</v>
      </c>
      <c r="D31" s="4"/>
      <c r="F31">
        <v>44</v>
      </c>
      <c r="G31" s="4">
        <v>9.2600599999999993</v>
      </c>
      <c r="H31" s="4">
        <v>0.73412999999999995</v>
      </c>
      <c r="I31" s="4">
        <v>0.28238000000000002</v>
      </c>
      <c r="K31" s="4"/>
      <c r="L31" s="4"/>
      <c r="M31" s="4"/>
      <c r="N31" s="4"/>
      <c r="O31" s="4"/>
      <c r="P31" s="4"/>
    </row>
    <row r="32" spans="2:16">
      <c r="B32">
        <v>45</v>
      </c>
      <c r="C32" s="4">
        <v>10.47559</v>
      </c>
      <c r="D32" s="4"/>
      <c r="F32">
        <v>45</v>
      </c>
      <c r="G32" s="4">
        <v>9.4683200000000003</v>
      </c>
      <c r="H32" s="4">
        <v>0.71843999999999997</v>
      </c>
      <c r="I32" s="4">
        <v>0.28882999999999998</v>
      </c>
      <c r="K32" s="4"/>
      <c r="L32" s="4"/>
      <c r="M32" s="4"/>
      <c r="N32" s="4"/>
      <c r="O32" s="4"/>
      <c r="P32" s="4"/>
    </row>
    <row r="33" spans="2:16">
      <c r="B33">
        <v>46</v>
      </c>
      <c r="C33" s="4">
        <v>10.67681</v>
      </c>
      <c r="D33" s="4"/>
      <c r="F33">
        <v>46</v>
      </c>
      <c r="G33" s="4">
        <v>9.6815800000000003</v>
      </c>
      <c r="H33" s="4">
        <v>0.69991999999999999</v>
      </c>
      <c r="I33" s="4">
        <v>0.29531000000000002</v>
      </c>
      <c r="K33" s="4"/>
      <c r="L33" s="4"/>
      <c r="M33" s="4"/>
      <c r="N33" s="4"/>
      <c r="O33" s="4"/>
      <c r="P33" s="4"/>
    </row>
    <row r="34" spans="2:16">
      <c r="B34">
        <v>47</v>
      </c>
      <c r="C34" s="4">
        <v>10.91952</v>
      </c>
      <c r="D34" s="4"/>
      <c r="F34">
        <v>47</v>
      </c>
      <c r="G34" s="4">
        <v>9.9400099999999991</v>
      </c>
      <c r="H34" s="4">
        <v>0.67911999999999995</v>
      </c>
      <c r="I34" s="4">
        <v>0.30038999999999999</v>
      </c>
      <c r="K34" s="4"/>
      <c r="L34" s="4"/>
      <c r="M34" s="4"/>
      <c r="N34" s="4"/>
      <c r="O34" s="4"/>
      <c r="P34" s="4"/>
    </row>
    <row r="35" spans="2:16">
      <c r="B35">
        <v>48</v>
      </c>
      <c r="C35" s="4">
        <v>11.412789999999999</v>
      </c>
      <c r="D35" s="4"/>
      <c r="F35">
        <v>48</v>
      </c>
      <c r="G35" s="4">
        <v>10.16535</v>
      </c>
      <c r="H35" s="4">
        <v>0.65436000000000005</v>
      </c>
      <c r="I35" s="4">
        <v>0.59308000000000005</v>
      </c>
      <c r="K35" s="4"/>
      <c r="L35" s="4"/>
      <c r="M35" s="4"/>
      <c r="N35" s="4"/>
      <c r="O35" s="4"/>
      <c r="P35" s="4"/>
    </row>
    <row r="36" spans="2:16">
      <c r="B36">
        <v>49</v>
      </c>
      <c r="C36" s="4">
        <v>11.63561</v>
      </c>
      <c r="D36" s="4"/>
      <c r="F36">
        <v>49</v>
      </c>
      <c r="G36" s="4">
        <v>10.4183</v>
      </c>
      <c r="H36" s="4">
        <v>0.61668000000000001</v>
      </c>
      <c r="I36" s="4">
        <v>0.60063999999999995</v>
      </c>
      <c r="K36" s="4"/>
      <c r="L36" s="4"/>
      <c r="M36" s="4"/>
      <c r="N36" s="4"/>
      <c r="O36" s="4"/>
      <c r="P36" s="4"/>
    </row>
    <row r="37" spans="2:16">
      <c r="B37">
        <v>50</v>
      </c>
      <c r="C37" s="4">
        <v>11.88212</v>
      </c>
      <c r="D37" s="4"/>
      <c r="F37">
        <v>50</v>
      </c>
      <c r="G37" s="4">
        <v>10.69</v>
      </c>
      <c r="H37" s="4">
        <v>0.58526</v>
      </c>
      <c r="I37" s="4">
        <v>0.60685999999999996</v>
      </c>
      <c r="K37" s="4"/>
      <c r="L37" s="4"/>
      <c r="M37" s="4"/>
      <c r="N37" s="4"/>
      <c r="O37" s="4"/>
      <c r="P37" s="4"/>
    </row>
    <row r="38" spans="2:16">
      <c r="B38">
        <v>51</v>
      </c>
      <c r="C38" s="4">
        <v>12.11988</v>
      </c>
      <c r="D38" s="4"/>
      <c r="F38">
        <v>51</v>
      </c>
      <c r="G38" s="4">
        <v>10.95298</v>
      </c>
      <c r="H38" s="4">
        <v>0.55098999999999998</v>
      </c>
      <c r="I38" s="4">
        <v>0.61590999999999996</v>
      </c>
      <c r="K38" s="4"/>
      <c r="L38" s="4"/>
      <c r="M38" s="4"/>
      <c r="N38" s="4"/>
      <c r="O38" s="4"/>
      <c r="P38" s="4"/>
    </row>
    <row r="39" spans="2:16">
      <c r="B39">
        <v>52</v>
      </c>
      <c r="C39" s="4">
        <v>12.35941</v>
      </c>
      <c r="D39" s="4"/>
      <c r="F39">
        <v>52</v>
      </c>
      <c r="G39" s="4">
        <v>11.23385</v>
      </c>
      <c r="H39" s="4">
        <v>0.50356000000000001</v>
      </c>
      <c r="I39" s="4">
        <v>0.622</v>
      </c>
      <c r="K39" s="4"/>
      <c r="L39" s="4"/>
      <c r="M39" s="4"/>
      <c r="N39" s="4"/>
      <c r="O39" s="4"/>
      <c r="P39" s="4"/>
    </row>
    <row r="40" spans="2:16">
      <c r="B40">
        <v>53</v>
      </c>
      <c r="C40" s="4">
        <v>12.63531</v>
      </c>
      <c r="D40" s="4"/>
      <c r="F40">
        <v>53</v>
      </c>
      <c r="G40" s="4">
        <v>11.54541</v>
      </c>
      <c r="H40" s="4">
        <v>0.46253</v>
      </c>
      <c r="I40" s="4">
        <v>0.62736000000000003</v>
      </c>
      <c r="K40" s="4"/>
      <c r="L40" s="4"/>
      <c r="M40" s="4"/>
      <c r="N40" s="4"/>
      <c r="O40" s="4"/>
      <c r="P40" s="4"/>
    </row>
    <row r="41" spans="2:16">
      <c r="B41">
        <v>54</v>
      </c>
      <c r="C41" s="4">
        <v>12.87457</v>
      </c>
      <c r="D41" s="4"/>
      <c r="F41">
        <v>54</v>
      </c>
      <c r="G41" s="4">
        <v>11.82281</v>
      </c>
      <c r="H41" s="4">
        <v>0.4178</v>
      </c>
      <c r="I41" s="4">
        <v>0.63395999999999997</v>
      </c>
      <c r="K41" s="4"/>
      <c r="L41" s="4"/>
      <c r="M41" s="4"/>
      <c r="N41" s="4"/>
      <c r="O41" s="4"/>
      <c r="P41" s="4"/>
    </row>
    <row r="42" spans="2:16">
      <c r="B42">
        <v>55</v>
      </c>
      <c r="C42" s="4">
        <v>13.13355</v>
      </c>
      <c r="D42" s="4"/>
      <c r="F42">
        <v>55</v>
      </c>
      <c r="G42" s="4">
        <v>12.12241</v>
      </c>
      <c r="H42" s="4">
        <v>0.37064000000000002</v>
      </c>
      <c r="I42" s="4">
        <v>0.64049999999999996</v>
      </c>
      <c r="K42" s="4"/>
      <c r="L42" s="4"/>
      <c r="M42" s="4"/>
      <c r="N42" s="4"/>
      <c r="O42" s="4"/>
      <c r="P42" s="4"/>
    </row>
    <row r="43" spans="2:16">
      <c r="B43">
        <v>56</v>
      </c>
      <c r="C43" s="4">
        <v>13.43543</v>
      </c>
      <c r="D43" s="4"/>
      <c r="F43">
        <v>56</v>
      </c>
      <c r="G43" s="4">
        <v>12.48113</v>
      </c>
      <c r="H43" s="4">
        <v>0.31308999999999998</v>
      </c>
      <c r="I43" s="4">
        <v>0.64120999999999995</v>
      </c>
      <c r="K43" s="4"/>
      <c r="L43" s="4"/>
      <c r="M43" s="4"/>
      <c r="N43" s="4"/>
      <c r="O43" s="4"/>
      <c r="P43" s="4"/>
    </row>
    <row r="44" spans="2:16">
      <c r="B44">
        <v>57</v>
      </c>
      <c r="C44" s="4">
        <v>13.71626</v>
      </c>
      <c r="D44" s="4"/>
      <c r="F44">
        <v>57</v>
      </c>
      <c r="G44" s="4">
        <v>12.807919999999999</v>
      </c>
      <c r="H44" s="4">
        <v>0.26232</v>
      </c>
      <c r="I44" s="4">
        <v>0.64602000000000004</v>
      </c>
      <c r="K44" s="4"/>
      <c r="L44" s="4"/>
      <c r="M44" s="4"/>
      <c r="N44" s="4"/>
      <c r="O44" s="4"/>
      <c r="P44" s="4"/>
    </row>
    <row r="45" spans="2:16">
      <c r="B45">
        <v>58</v>
      </c>
      <c r="C45" s="4">
        <v>14.027480000000001</v>
      </c>
      <c r="D45" s="4"/>
      <c r="F45">
        <v>58</v>
      </c>
      <c r="G45" s="4">
        <v>13.17501</v>
      </c>
      <c r="H45" s="4">
        <v>0.20451</v>
      </c>
      <c r="I45" s="4">
        <v>0.64795000000000003</v>
      </c>
      <c r="K45" s="4"/>
      <c r="L45" s="4"/>
      <c r="M45" s="4"/>
      <c r="N45" s="4"/>
      <c r="O45" s="4"/>
      <c r="P45" s="4"/>
    </row>
    <row r="46" spans="2:16">
      <c r="B46">
        <v>59</v>
      </c>
      <c r="C46" s="4">
        <v>14.33174</v>
      </c>
      <c r="D46" s="4"/>
      <c r="F46">
        <v>59</v>
      </c>
      <c r="G46" s="4">
        <v>13.522449999999999</v>
      </c>
      <c r="H46" s="4">
        <v>0.15989999999999999</v>
      </c>
      <c r="I46" s="4">
        <v>0.64939000000000002</v>
      </c>
      <c r="K46" s="4"/>
      <c r="L46" s="4"/>
      <c r="M46" s="4"/>
      <c r="N46" s="4"/>
      <c r="O46" s="4"/>
      <c r="P46" s="4"/>
    </row>
    <row r="47" spans="2:16">
      <c r="B47">
        <v>60</v>
      </c>
      <c r="C47" s="4">
        <v>14.614610000000001</v>
      </c>
      <c r="D47" s="4"/>
      <c r="F47">
        <v>60</v>
      </c>
      <c r="G47" s="4">
        <v>13.846310000000001</v>
      </c>
      <c r="H47" s="4">
        <v>0.11636000000000001</v>
      </c>
      <c r="I47" s="4">
        <v>0.65193999999999996</v>
      </c>
      <c r="K47" s="4"/>
      <c r="L47" s="4"/>
      <c r="M47" s="4"/>
      <c r="N47" s="4"/>
      <c r="O47" s="4"/>
      <c r="P47" s="4"/>
    </row>
    <row r="48" spans="2:16">
      <c r="B48">
        <v>61</v>
      </c>
      <c r="C48" s="4">
        <v>15.10149</v>
      </c>
      <c r="D48" s="4"/>
      <c r="F48">
        <v>61</v>
      </c>
      <c r="G48" s="4">
        <v>14.384550000000001</v>
      </c>
      <c r="H48" s="4">
        <v>6.4390000000000003E-2</v>
      </c>
      <c r="I48" s="4">
        <v>0.65254999999999996</v>
      </c>
      <c r="K48" s="4"/>
      <c r="L48" s="4"/>
      <c r="M48" s="4"/>
      <c r="N48" s="4"/>
      <c r="O48" s="4"/>
      <c r="P48" s="4"/>
    </row>
    <row r="49" spans="2:16">
      <c r="B49">
        <v>62</v>
      </c>
      <c r="C49" s="4">
        <v>15.660740000000001</v>
      </c>
      <c r="D49" s="4"/>
      <c r="F49">
        <v>62</v>
      </c>
      <c r="G49" s="4">
        <v>14.987030000000001</v>
      </c>
      <c r="H49" s="4">
        <v>2.4490000000000001E-2</v>
      </c>
      <c r="I49" s="4">
        <v>0.64922000000000002</v>
      </c>
      <c r="K49" s="4"/>
      <c r="L49" s="4"/>
      <c r="M49" s="4"/>
      <c r="N49" s="4"/>
      <c r="O49" s="4"/>
      <c r="P49" s="4"/>
    </row>
    <row r="50" spans="2:16">
      <c r="B50">
        <v>63</v>
      </c>
      <c r="C50" s="4">
        <v>16.21069</v>
      </c>
      <c r="D50" s="4"/>
      <c r="F50">
        <v>63</v>
      </c>
      <c r="G50" s="4">
        <v>15.56283</v>
      </c>
      <c r="H50" s="4">
        <v>2.2499999999999998E-3</v>
      </c>
      <c r="I50" s="4">
        <v>0.64561000000000002</v>
      </c>
      <c r="K50" s="4"/>
      <c r="L50" s="4"/>
      <c r="M50" s="4"/>
      <c r="N50" s="4"/>
      <c r="O50" s="4"/>
      <c r="P50" s="4"/>
    </row>
    <row r="51" spans="2:16">
      <c r="B51">
        <v>64</v>
      </c>
      <c r="C51" s="4">
        <v>16.82048</v>
      </c>
      <c r="D51" s="4"/>
      <c r="F51">
        <v>64</v>
      </c>
      <c r="G51" s="4">
        <v>16.179549999999999</v>
      </c>
      <c r="H51" s="4">
        <v>0</v>
      </c>
      <c r="I51" s="4">
        <v>0.64093</v>
      </c>
      <c r="K51" s="4"/>
      <c r="L51" s="4"/>
      <c r="M51" s="4"/>
      <c r="N51" s="4"/>
      <c r="O51" s="4"/>
      <c r="P51" s="4"/>
    </row>
    <row r="52" spans="2:16">
      <c r="B52">
        <v>65</v>
      </c>
      <c r="C52" s="4">
        <v>16.446680000000001</v>
      </c>
      <c r="D52" s="4"/>
      <c r="F52">
        <v>65</v>
      </c>
      <c r="G52" s="4">
        <v>15.80842</v>
      </c>
      <c r="H52" s="4">
        <v>0</v>
      </c>
      <c r="I52" s="4">
        <v>0.63826000000000005</v>
      </c>
      <c r="K52" s="4"/>
      <c r="L52" s="4"/>
      <c r="M52" s="4"/>
      <c r="N52" s="4"/>
      <c r="O52" s="4"/>
      <c r="P52" s="4"/>
    </row>
    <row r="53" spans="2:16">
      <c r="B53">
        <v>66</v>
      </c>
      <c r="C53" s="4">
        <v>16.036549999999998</v>
      </c>
      <c r="D53" s="4"/>
      <c r="F53">
        <v>66</v>
      </c>
      <c r="G53" s="4">
        <v>15.40057</v>
      </c>
      <c r="H53" s="4">
        <v>0</v>
      </c>
      <c r="I53" s="4">
        <v>0.63599000000000006</v>
      </c>
      <c r="K53" s="4"/>
      <c r="L53" s="4"/>
      <c r="M53" s="4"/>
      <c r="N53" s="4"/>
      <c r="O53" s="4"/>
      <c r="P53" s="4"/>
    </row>
    <row r="54" spans="2:16">
      <c r="B54">
        <v>67</v>
      </c>
      <c r="C54" s="4">
        <v>15.59346</v>
      </c>
      <c r="D54" s="4"/>
      <c r="F54">
        <v>67</v>
      </c>
      <c r="G54" s="4">
        <v>14.9627</v>
      </c>
      <c r="H54" s="4">
        <v>0</v>
      </c>
      <c r="I54" s="4">
        <v>0.63075999999999999</v>
      </c>
      <c r="K54" s="4"/>
      <c r="L54" s="4"/>
      <c r="M54" s="4"/>
      <c r="N54" s="4"/>
      <c r="O54" s="4"/>
      <c r="P54" s="4"/>
    </row>
    <row r="55" spans="2:16">
      <c r="B55">
        <v>68</v>
      </c>
      <c r="C55" s="4">
        <v>15.21339</v>
      </c>
      <c r="D55" s="4"/>
      <c r="F55">
        <v>68</v>
      </c>
      <c r="G55" s="4">
        <v>14.59019</v>
      </c>
      <c r="H55" s="4">
        <v>0</v>
      </c>
      <c r="I55" s="4">
        <v>0.62319999999999998</v>
      </c>
      <c r="K55" s="4"/>
      <c r="L55" s="4"/>
      <c r="M55" s="4"/>
      <c r="N55" s="4"/>
      <c r="O55" s="4"/>
      <c r="P55" s="4"/>
    </row>
    <row r="56" spans="2:16">
      <c r="B56">
        <v>69</v>
      </c>
      <c r="C56" s="4">
        <v>14.77577</v>
      </c>
      <c r="D56" s="4"/>
      <c r="F56">
        <v>69</v>
      </c>
      <c r="G56" s="4">
        <v>14.161</v>
      </c>
      <c r="H56" s="4">
        <v>0</v>
      </c>
      <c r="I56" s="4">
        <v>0.61477000000000004</v>
      </c>
      <c r="K56" s="4"/>
      <c r="L56" s="4"/>
      <c r="M56" s="4"/>
      <c r="N56" s="4"/>
      <c r="O56" s="4"/>
      <c r="P56" s="4"/>
    </row>
    <row r="57" spans="2:16">
      <c r="B57">
        <v>70</v>
      </c>
      <c r="C57" s="4">
        <v>14.307600000000001</v>
      </c>
      <c r="D57" s="4"/>
      <c r="F57">
        <v>70</v>
      </c>
      <c r="G57" s="4">
        <v>13.70055</v>
      </c>
      <c r="H57" s="4">
        <v>0</v>
      </c>
      <c r="I57" s="4">
        <v>0.60704000000000002</v>
      </c>
      <c r="K57" s="4"/>
      <c r="L57" s="4"/>
      <c r="M57" s="4"/>
      <c r="N57" s="4"/>
      <c r="O57" s="4"/>
      <c r="P57" s="4"/>
    </row>
    <row r="58" spans="2:16">
      <c r="C58" s="4"/>
      <c r="D58" s="4"/>
      <c r="G58" s="4"/>
      <c r="H58" s="4"/>
      <c r="I58" s="4"/>
      <c r="K58" s="4"/>
      <c r="L58" s="4"/>
      <c r="M58" s="4"/>
    </row>
    <row r="60" spans="2:16">
      <c r="B60" s="57"/>
      <c r="C60" s="57" t="s">
        <v>73</v>
      </c>
      <c r="D60" s="57" t="s">
        <v>74</v>
      </c>
    </row>
    <row r="61" spans="2:16">
      <c r="B61" s="57" t="s">
        <v>68</v>
      </c>
      <c r="C61" s="57" t="s">
        <v>70</v>
      </c>
      <c r="D61" s="57" t="s">
        <v>72</v>
      </c>
      <c r="E61" s="57" t="s">
        <v>72</v>
      </c>
    </row>
    <row r="62" spans="2:16">
      <c r="B62">
        <v>18</v>
      </c>
      <c r="C62" s="61">
        <v>6.7900400000000003</v>
      </c>
      <c r="D62" s="61">
        <v>0.92501</v>
      </c>
      <c r="E62" s="4">
        <v>3.474E-2</v>
      </c>
      <c r="G62" s="4"/>
      <c r="H62" s="4"/>
      <c r="I62" s="4"/>
      <c r="K62" s="4"/>
      <c r="L62" s="4"/>
      <c r="M62" s="4"/>
    </row>
    <row r="63" spans="2:16">
      <c r="B63">
        <v>19</v>
      </c>
      <c r="C63" s="61">
        <v>6.8995800000000003</v>
      </c>
      <c r="D63" s="61">
        <v>0.95455000000000001</v>
      </c>
      <c r="E63" s="4">
        <v>3.61E-2</v>
      </c>
      <c r="G63" s="4"/>
      <c r="H63" s="4"/>
      <c r="I63" s="4"/>
      <c r="K63" s="4"/>
      <c r="L63" s="4"/>
      <c r="M63" s="4"/>
    </row>
    <row r="64" spans="2:16">
      <c r="B64">
        <v>20</v>
      </c>
      <c r="C64" s="61">
        <v>7.0458999999999996</v>
      </c>
      <c r="D64" s="61">
        <v>0.97906000000000004</v>
      </c>
      <c r="E64" s="4">
        <v>3.7109999999999997E-2</v>
      </c>
      <c r="G64" s="4"/>
      <c r="H64" s="4"/>
      <c r="I64" s="4"/>
      <c r="K64" s="4"/>
      <c r="L64" s="4"/>
      <c r="M64" s="4"/>
    </row>
    <row r="65" spans="2:13">
      <c r="B65">
        <v>21</v>
      </c>
      <c r="C65" s="61">
        <v>7.1778599999999999</v>
      </c>
      <c r="D65" s="61">
        <v>1.0094799999999999</v>
      </c>
      <c r="E65" s="4">
        <v>3.8490000000000003E-2</v>
      </c>
      <c r="G65" s="4"/>
      <c r="H65" s="4"/>
      <c r="I65" s="4"/>
      <c r="K65" s="4"/>
      <c r="L65" s="4"/>
      <c r="M65" s="4"/>
    </row>
    <row r="66" spans="2:13">
      <c r="B66">
        <v>22</v>
      </c>
      <c r="C66" s="61">
        <v>7.3116099999999999</v>
      </c>
      <c r="D66" s="61">
        <v>1.0406599999999999</v>
      </c>
      <c r="E66" s="4">
        <v>3.986E-2</v>
      </c>
      <c r="G66" s="4"/>
      <c r="H66" s="4"/>
      <c r="I66" s="4"/>
      <c r="K66" s="4"/>
      <c r="L66" s="4"/>
      <c r="M66" s="4"/>
    </row>
    <row r="67" spans="2:13">
      <c r="B67">
        <v>23</v>
      </c>
      <c r="C67" s="61">
        <v>7.4656700000000003</v>
      </c>
      <c r="D67" s="61">
        <v>1.0668299999999999</v>
      </c>
      <c r="E67" s="4">
        <v>4.0869999999999997E-2</v>
      </c>
      <c r="G67" s="4"/>
      <c r="H67" s="4"/>
      <c r="I67" s="4"/>
      <c r="K67" s="4"/>
      <c r="L67" s="4"/>
      <c r="M67" s="4"/>
    </row>
    <row r="68" spans="2:13">
      <c r="B68">
        <v>24</v>
      </c>
      <c r="C68" s="61">
        <v>7.6042399999999999</v>
      </c>
      <c r="D68" s="61">
        <v>1.0991200000000001</v>
      </c>
      <c r="E68" s="4">
        <v>4.2180000000000002E-2</v>
      </c>
      <c r="G68" s="4"/>
      <c r="H68" s="4"/>
      <c r="I68" s="4"/>
      <c r="K68" s="4"/>
      <c r="L68" s="4"/>
      <c r="M68" s="4"/>
    </row>
    <row r="69" spans="2:13">
      <c r="B69">
        <v>25</v>
      </c>
      <c r="C69" s="61">
        <v>7.7454499999999999</v>
      </c>
      <c r="D69" s="61">
        <v>1.1318999999999999</v>
      </c>
      <c r="E69" s="4">
        <v>4.3430000000000003E-2</v>
      </c>
      <c r="G69" s="4"/>
      <c r="H69" s="4"/>
      <c r="I69" s="4"/>
      <c r="K69" s="4"/>
      <c r="L69" s="4"/>
      <c r="M69" s="4"/>
    </row>
    <row r="70" spans="2:13">
      <c r="B70">
        <v>26</v>
      </c>
      <c r="C70" s="61">
        <v>7.9082600000000003</v>
      </c>
      <c r="D70" s="61">
        <v>1.15892</v>
      </c>
      <c r="E70" s="4">
        <v>4.4179999999999997E-2</v>
      </c>
      <c r="G70" s="4"/>
      <c r="H70" s="4"/>
      <c r="I70" s="4"/>
      <c r="K70" s="4"/>
      <c r="L70" s="4"/>
      <c r="M70" s="4"/>
    </row>
    <row r="71" spans="2:13">
      <c r="B71">
        <v>27</v>
      </c>
      <c r="C71" s="61">
        <v>8.0549599999999995</v>
      </c>
      <c r="D71" s="61">
        <v>1.1922200000000001</v>
      </c>
      <c r="E71" s="4">
        <v>4.5179999999999998E-2</v>
      </c>
      <c r="G71" s="4"/>
      <c r="H71" s="4"/>
      <c r="I71" s="4"/>
      <c r="K71" s="4"/>
      <c r="L71" s="4"/>
      <c r="M71" s="4"/>
    </row>
    <row r="72" spans="2:13">
      <c r="B72">
        <v>28</v>
      </c>
      <c r="C72" s="61">
        <v>8.2034500000000001</v>
      </c>
      <c r="D72" s="61">
        <v>1.2256800000000001</v>
      </c>
      <c r="E72" s="4">
        <v>4.6019999999999998E-2</v>
      </c>
      <c r="G72" s="4"/>
      <c r="H72" s="4"/>
      <c r="I72" s="4"/>
      <c r="K72" s="4"/>
      <c r="L72" s="4"/>
      <c r="M72" s="4"/>
    </row>
    <row r="73" spans="2:13">
      <c r="B73">
        <v>29</v>
      </c>
      <c r="C73" s="61">
        <v>8.3743599999999994</v>
      </c>
      <c r="D73" s="61">
        <v>1.2527200000000001</v>
      </c>
      <c r="E73" s="4">
        <v>4.6249999999999999E-2</v>
      </c>
      <c r="G73" s="4"/>
      <c r="H73" s="4"/>
      <c r="I73" s="4"/>
      <c r="K73" s="4"/>
      <c r="L73" s="4"/>
      <c r="M73" s="4"/>
    </row>
    <row r="74" spans="2:13">
      <c r="B74">
        <v>30</v>
      </c>
      <c r="C74" s="61">
        <v>8.5271299999999997</v>
      </c>
      <c r="D74" s="61">
        <v>1.2862</v>
      </c>
      <c r="E74" s="4">
        <v>4.666E-2</v>
      </c>
      <c r="G74" s="4"/>
      <c r="H74" s="4"/>
      <c r="I74" s="4"/>
      <c r="K74" s="4"/>
      <c r="L74" s="4"/>
      <c r="M74" s="4"/>
    </row>
    <row r="75" spans="2:13">
      <c r="B75">
        <v>31</v>
      </c>
      <c r="C75" s="61">
        <v>8.6815899999999999</v>
      </c>
      <c r="D75" s="61">
        <v>1.31965</v>
      </c>
      <c r="E75" s="4">
        <v>4.6820000000000001E-2</v>
      </c>
      <c r="G75" s="4"/>
      <c r="H75" s="4"/>
      <c r="I75" s="4"/>
      <c r="K75" s="4"/>
      <c r="L75" s="4"/>
      <c r="M75" s="4"/>
    </row>
    <row r="76" spans="2:13">
      <c r="B76">
        <v>32</v>
      </c>
      <c r="C76" s="61">
        <v>8.8612599999999997</v>
      </c>
      <c r="D76" s="61">
        <v>1.34612</v>
      </c>
      <c r="E76" s="4">
        <v>4.6300000000000001E-2</v>
      </c>
      <c r="G76" s="4"/>
      <c r="H76" s="4"/>
      <c r="I76" s="4"/>
      <c r="K76" s="4"/>
      <c r="L76" s="4"/>
      <c r="M76" s="4"/>
    </row>
    <row r="77" spans="2:13">
      <c r="B77">
        <v>33</v>
      </c>
      <c r="C77" s="61">
        <v>9.0212599999999998</v>
      </c>
      <c r="D77" s="61">
        <v>1.3792599999999999</v>
      </c>
      <c r="E77" s="4">
        <v>4.5929999999999999E-2</v>
      </c>
      <c r="G77" s="4"/>
      <c r="H77" s="4"/>
      <c r="I77" s="4"/>
      <c r="K77" s="4"/>
      <c r="L77" s="4"/>
      <c r="M77" s="4"/>
    </row>
    <row r="78" spans="2:13">
      <c r="B78">
        <v>34</v>
      </c>
      <c r="C78" s="61">
        <v>9.1828800000000008</v>
      </c>
      <c r="D78" s="61">
        <v>1.41225</v>
      </c>
      <c r="E78" s="4">
        <v>4.5260000000000002E-2</v>
      </c>
      <c r="G78" s="4"/>
      <c r="H78" s="4"/>
      <c r="I78" s="4"/>
      <c r="K78" s="4"/>
      <c r="L78" s="4"/>
      <c r="M78" s="4"/>
    </row>
    <row r="79" spans="2:13">
      <c r="B79">
        <v>35</v>
      </c>
      <c r="C79" s="61">
        <v>9.3706399999999999</v>
      </c>
      <c r="D79" s="61">
        <v>1.4378500000000001</v>
      </c>
      <c r="E79" s="4">
        <v>4.3950000000000003E-2</v>
      </c>
      <c r="G79" s="4"/>
      <c r="H79" s="4"/>
      <c r="I79" s="4"/>
      <c r="K79" s="4"/>
      <c r="L79" s="4"/>
      <c r="M79" s="4"/>
    </row>
    <row r="80" spans="2:13">
      <c r="B80">
        <v>36</v>
      </c>
      <c r="C80" s="61">
        <v>9.5371199999999998</v>
      </c>
      <c r="D80" s="61">
        <v>1.47035</v>
      </c>
      <c r="E80" s="4">
        <v>4.2770000000000002E-2</v>
      </c>
      <c r="G80" s="4"/>
      <c r="H80" s="4"/>
      <c r="I80" s="4"/>
      <c r="K80" s="4"/>
      <c r="L80" s="4"/>
      <c r="M80" s="4"/>
    </row>
    <row r="81" spans="2:13">
      <c r="B81">
        <v>37</v>
      </c>
      <c r="C81" s="61">
        <v>9.7062899999999992</v>
      </c>
      <c r="D81" s="61">
        <v>1.5026600000000001</v>
      </c>
      <c r="E81" s="4">
        <v>4.1340000000000002E-2</v>
      </c>
      <c r="G81" s="4"/>
      <c r="H81" s="4"/>
      <c r="I81" s="4"/>
      <c r="K81" s="4"/>
      <c r="L81" s="4"/>
      <c r="M81" s="4"/>
    </row>
    <row r="82" spans="2:13">
      <c r="B82">
        <v>38</v>
      </c>
      <c r="C82" s="61">
        <v>9.9031400000000005</v>
      </c>
      <c r="D82" s="61">
        <v>1.5271699999999999</v>
      </c>
      <c r="E82" s="4">
        <v>3.9359999999999999E-2</v>
      </c>
      <c r="G82" s="4"/>
      <c r="H82" s="4"/>
      <c r="I82" s="4"/>
      <c r="K82" s="4"/>
      <c r="L82" s="4"/>
      <c r="M82" s="4"/>
    </row>
    <row r="83" spans="2:13">
      <c r="B83">
        <v>39</v>
      </c>
      <c r="C83" s="61">
        <v>10.07785</v>
      </c>
      <c r="D83" s="61">
        <v>1.5588500000000001</v>
      </c>
      <c r="E83" s="4">
        <v>3.755E-2</v>
      </c>
      <c r="G83" s="4"/>
      <c r="H83" s="4"/>
      <c r="I83" s="4"/>
      <c r="K83" s="4"/>
      <c r="L83" s="4"/>
      <c r="M83" s="4"/>
    </row>
    <row r="84" spans="2:13">
      <c r="B84">
        <v>40</v>
      </c>
      <c r="C84" s="61">
        <v>10.25407</v>
      </c>
      <c r="D84" s="61">
        <v>1.5901700000000001</v>
      </c>
      <c r="E84" s="4">
        <v>3.5580000000000001E-2</v>
      </c>
      <c r="G84" s="4"/>
      <c r="H84" s="4"/>
      <c r="I84" s="4"/>
      <c r="K84" s="4"/>
      <c r="L84" s="4"/>
      <c r="M84" s="4"/>
    </row>
    <row r="85" spans="2:13">
      <c r="B85">
        <v>41</v>
      </c>
      <c r="C85" s="61">
        <v>10.458909999999999</v>
      </c>
      <c r="D85" s="61">
        <v>1.6134299999999999</v>
      </c>
      <c r="E85" s="4">
        <v>3.3210000000000003E-2</v>
      </c>
      <c r="G85" s="4"/>
      <c r="H85" s="4"/>
      <c r="I85" s="4"/>
      <c r="K85" s="4"/>
      <c r="L85" s="4"/>
      <c r="M85" s="4"/>
    </row>
    <row r="86" spans="2:13">
      <c r="B86">
        <v>42</v>
      </c>
      <c r="C86" s="61">
        <v>10.63897</v>
      </c>
      <c r="D86" s="61">
        <v>1.6438999999999999</v>
      </c>
      <c r="E86" s="4">
        <v>3.1050000000000001E-2</v>
      </c>
      <c r="G86" s="4"/>
      <c r="H86" s="4"/>
      <c r="I86" s="4"/>
      <c r="K86" s="4"/>
      <c r="L86" s="4"/>
      <c r="M86" s="4"/>
    </row>
    <row r="87" spans="2:13">
      <c r="B87">
        <v>43</v>
      </c>
      <c r="C87" s="61">
        <v>10.85305</v>
      </c>
      <c r="D87" s="61">
        <v>1.6727700000000001</v>
      </c>
      <c r="E87" s="4">
        <v>2.8830000000000001E-2</v>
      </c>
      <c r="G87" s="4"/>
      <c r="H87" s="4"/>
      <c r="I87" s="4"/>
      <c r="K87" s="4"/>
      <c r="L87" s="4"/>
      <c r="M87" s="4"/>
    </row>
    <row r="88" spans="2:13">
      <c r="B88">
        <v>44</v>
      </c>
      <c r="C88" s="61">
        <v>11.06776</v>
      </c>
      <c r="D88" s="61">
        <v>1.69432</v>
      </c>
      <c r="E88" s="4">
        <v>2.6370000000000001E-2</v>
      </c>
      <c r="G88" s="4"/>
      <c r="H88" s="4"/>
      <c r="I88" s="4"/>
      <c r="K88" s="4"/>
      <c r="L88" s="4"/>
      <c r="M88" s="4"/>
    </row>
    <row r="89" spans="2:13">
      <c r="B89">
        <v>45</v>
      </c>
      <c r="C89" s="61">
        <v>11.25609</v>
      </c>
      <c r="D89" s="61">
        <v>1.7230099999999999</v>
      </c>
      <c r="E89" s="4">
        <v>2.418E-2</v>
      </c>
      <c r="G89" s="4"/>
      <c r="H89" s="4"/>
      <c r="I89" s="4"/>
      <c r="K89" s="4"/>
      <c r="L89" s="4"/>
      <c r="M89" s="4"/>
    </row>
    <row r="90" spans="2:13">
      <c r="B90">
        <v>46</v>
      </c>
      <c r="C90" s="61">
        <v>11.44598</v>
      </c>
      <c r="D90" s="61">
        <v>1.7509300000000001</v>
      </c>
      <c r="E90" s="4">
        <v>2.2020000000000001E-2</v>
      </c>
      <c r="G90" s="4"/>
      <c r="H90" s="4"/>
      <c r="I90" s="4"/>
      <c r="K90" s="4"/>
      <c r="L90" s="4"/>
      <c r="M90" s="4"/>
    </row>
    <row r="91" spans="2:13">
      <c r="B91">
        <v>47</v>
      </c>
      <c r="C91" s="61">
        <v>11.669370000000001</v>
      </c>
      <c r="D91" s="61">
        <v>1.7700899999999999</v>
      </c>
      <c r="E91" s="4">
        <v>1.9769999999999999E-2</v>
      </c>
      <c r="G91" s="4"/>
      <c r="H91" s="4"/>
      <c r="I91" s="4"/>
      <c r="K91" s="4"/>
      <c r="L91" s="4"/>
      <c r="M91" s="4"/>
    </row>
    <row r="92" spans="2:13">
      <c r="B92">
        <v>48</v>
      </c>
      <c r="C92" s="61">
        <v>11.863720000000001</v>
      </c>
      <c r="D92" s="61">
        <v>1.79609</v>
      </c>
      <c r="E92" s="4">
        <v>1.779E-2</v>
      </c>
      <c r="G92" s="4"/>
      <c r="H92" s="4"/>
      <c r="I92" s="4"/>
      <c r="K92" s="4"/>
      <c r="L92" s="4"/>
      <c r="M92" s="4"/>
    </row>
    <row r="93" spans="2:13">
      <c r="B93">
        <v>49</v>
      </c>
      <c r="C93" s="61">
        <v>12.09976</v>
      </c>
      <c r="D93" s="61">
        <v>1.8197399999999999</v>
      </c>
      <c r="E93" s="4">
        <v>1.5890000000000001E-2</v>
      </c>
      <c r="G93" s="4"/>
      <c r="H93" s="4"/>
      <c r="I93" s="4"/>
      <c r="K93" s="4"/>
      <c r="L93" s="4"/>
      <c r="M93" s="4"/>
    </row>
    <row r="94" spans="2:13">
      <c r="B94">
        <v>50</v>
      </c>
      <c r="C94" s="61">
        <v>12.336180000000001</v>
      </c>
      <c r="D94" s="61">
        <v>1.8353900000000001</v>
      </c>
      <c r="E94" s="4">
        <v>1.4E-2</v>
      </c>
      <c r="G94" s="4"/>
      <c r="H94" s="4"/>
      <c r="I94" s="4"/>
      <c r="K94" s="4"/>
      <c r="L94" s="4"/>
      <c r="M94" s="4"/>
    </row>
    <row r="95" spans="2:13">
      <c r="B95">
        <v>51</v>
      </c>
      <c r="C95" s="61">
        <v>12.54522</v>
      </c>
      <c r="D95" s="61">
        <v>1.85744</v>
      </c>
      <c r="E95" s="4">
        <v>1.238E-2</v>
      </c>
      <c r="G95" s="4"/>
      <c r="H95" s="4"/>
      <c r="I95" s="4"/>
      <c r="J95" s="4"/>
      <c r="K95" s="4"/>
      <c r="L95" s="4"/>
      <c r="M95" s="4"/>
    </row>
    <row r="96" spans="2:13">
      <c r="B96">
        <v>52</v>
      </c>
      <c r="C96" s="61">
        <v>12.79979</v>
      </c>
      <c r="D96" s="61">
        <v>1.87653</v>
      </c>
      <c r="E96" s="4">
        <v>1.085E-2</v>
      </c>
      <c r="G96" s="4"/>
      <c r="H96" s="4"/>
      <c r="I96" s="4"/>
      <c r="J96" s="4"/>
      <c r="K96" s="4"/>
      <c r="L96" s="4"/>
      <c r="M96" s="4"/>
    </row>
    <row r="97" spans="2:13">
      <c r="B97">
        <v>53</v>
      </c>
      <c r="C97" s="61">
        <v>13.05212</v>
      </c>
      <c r="D97" s="61">
        <v>1.88727</v>
      </c>
      <c r="E97" s="4">
        <v>9.4000000000000004E-3</v>
      </c>
      <c r="G97" s="4"/>
      <c r="H97" s="4"/>
      <c r="I97" s="4"/>
      <c r="J97" s="4"/>
      <c r="K97" s="4"/>
      <c r="L97" s="4"/>
      <c r="M97" s="4"/>
    </row>
    <row r="98" spans="2:13">
      <c r="B98">
        <v>54</v>
      </c>
      <c r="C98" s="61">
        <v>13.276149999999999</v>
      </c>
      <c r="D98" s="61">
        <v>1.9036599999999999</v>
      </c>
      <c r="E98" s="4">
        <v>8.1399999999999997E-3</v>
      </c>
      <c r="G98" s="4"/>
      <c r="H98" s="4"/>
      <c r="I98" s="4"/>
      <c r="K98" s="4"/>
      <c r="L98" s="4"/>
      <c r="M98" s="4"/>
    </row>
    <row r="99" spans="2:13">
      <c r="B99">
        <v>55</v>
      </c>
      <c r="C99" s="61">
        <v>13.506</v>
      </c>
      <c r="D99" s="61">
        <v>1.9176800000000001</v>
      </c>
      <c r="E99" s="4">
        <v>7.0299999999999998E-3</v>
      </c>
      <c r="G99" s="4"/>
      <c r="H99" s="4"/>
      <c r="I99" s="4"/>
      <c r="J99" s="9"/>
      <c r="K99" s="4"/>
      <c r="L99" s="4"/>
      <c r="M99" s="4"/>
    </row>
    <row r="100" spans="2:13">
      <c r="B100">
        <v>56</v>
      </c>
      <c r="C100" s="61">
        <v>13.83159</v>
      </c>
      <c r="D100" s="61">
        <v>1.92045</v>
      </c>
      <c r="E100" s="4">
        <v>5.96E-3</v>
      </c>
      <c r="G100" s="4"/>
      <c r="H100" s="4"/>
      <c r="I100" s="4"/>
      <c r="K100" s="4"/>
      <c r="L100" s="4"/>
      <c r="M100" s="4"/>
    </row>
    <row r="101" spans="2:13">
      <c r="B101">
        <v>57</v>
      </c>
      <c r="C101" s="61">
        <v>14.08431</v>
      </c>
      <c r="D101" s="61">
        <v>1.92913</v>
      </c>
      <c r="E101" s="4">
        <v>5.0899999999999999E-3</v>
      </c>
      <c r="G101" s="4"/>
      <c r="H101" s="4"/>
      <c r="I101" s="4"/>
      <c r="J101" s="9"/>
      <c r="K101" s="4"/>
      <c r="L101" s="4"/>
      <c r="M101" s="4"/>
    </row>
    <row r="102" spans="2:13">
      <c r="B102">
        <v>58</v>
      </c>
      <c r="C102" s="61">
        <v>14.40207</v>
      </c>
      <c r="D102" s="61">
        <v>1.93337</v>
      </c>
      <c r="E102" s="4">
        <v>4.28E-3</v>
      </c>
      <c r="G102" s="4"/>
      <c r="H102" s="4"/>
      <c r="I102" s="4"/>
      <c r="K102" s="4"/>
      <c r="L102" s="4"/>
      <c r="M102" s="4"/>
    </row>
    <row r="103" spans="2:13">
      <c r="B103">
        <v>59</v>
      </c>
      <c r="C103" s="61">
        <v>14.664899999999999</v>
      </c>
      <c r="D103" s="61">
        <v>1.9298299999999999</v>
      </c>
      <c r="E103" s="4">
        <v>3.5899999999999999E-3</v>
      </c>
      <c r="G103" s="4"/>
      <c r="H103" s="4"/>
      <c r="I103" s="4"/>
      <c r="K103" s="4"/>
      <c r="L103" s="4"/>
      <c r="M103" s="4"/>
    </row>
    <row r="104" spans="2:13">
      <c r="B104">
        <v>60</v>
      </c>
      <c r="C104" s="61">
        <v>14.90146</v>
      </c>
      <c r="D104" s="61">
        <v>1.9296</v>
      </c>
      <c r="E104" s="4">
        <v>2.97E-3</v>
      </c>
      <c r="G104" s="4"/>
      <c r="H104" s="4"/>
      <c r="I104" s="4"/>
      <c r="K104" s="4"/>
      <c r="L104" s="4"/>
      <c r="M104" s="4"/>
    </row>
    <row r="105" spans="2:13">
      <c r="B105">
        <v>61</v>
      </c>
      <c r="C105" s="61">
        <v>15.33858</v>
      </c>
      <c r="D105" s="61">
        <v>1.92153</v>
      </c>
      <c r="E105" s="4">
        <v>2.4599999999999999E-3</v>
      </c>
      <c r="G105" s="4"/>
      <c r="H105" s="4"/>
      <c r="I105" s="4"/>
      <c r="K105" s="4"/>
      <c r="L105" s="4"/>
      <c r="M105" s="4"/>
    </row>
    <row r="106" spans="2:13">
      <c r="B106">
        <v>62</v>
      </c>
      <c r="C106" s="61">
        <v>15.85852</v>
      </c>
      <c r="D106" s="61">
        <v>1.9028099999999999</v>
      </c>
      <c r="E106" s="4">
        <v>1.98E-3</v>
      </c>
      <c r="G106" s="4"/>
      <c r="H106" s="4"/>
      <c r="I106" s="4"/>
      <c r="K106" s="4"/>
      <c r="L106" s="4"/>
      <c r="M106" s="4"/>
    </row>
    <row r="107" spans="2:13">
      <c r="B107">
        <v>63</v>
      </c>
      <c r="C107" s="61">
        <v>16.387060000000002</v>
      </c>
      <c r="D107" s="61">
        <v>1.8860600000000001</v>
      </c>
      <c r="E107" s="4">
        <v>1.6100000000000001E-3</v>
      </c>
      <c r="G107" s="4"/>
      <c r="H107" s="4"/>
      <c r="I107" s="4"/>
      <c r="K107" s="4"/>
      <c r="L107" s="4"/>
      <c r="M107" s="4"/>
    </row>
    <row r="108" spans="2:13">
      <c r="B108">
        <v>64</v>
      </c>
      <c r="C108" s="61">
        <v>16.95898</v>
      </c>
      <c r="D108" s="61">
        <v>1.8644499999999999</v>
      </c>
      <c r="E108" s="4">
        <v>1.2600000000000001E-3</v>
      </c>
      <c r="G108" s="4"/>
      <c r="H108" s="4"/>
      <c r="I108" s="4"/>
      <c r="K108" s="4"/>
      <c r="L108" s="4"/>
      <c r="M108" s="4"/>
    </row>
    <row r="109" spans="2:13">
      <c r="B109">
        <v>65</v>
      </c>
      <c r="C109" s="61">
        <v>16.51493</v>
      </c>
      <c r="D109" s="61">
        <v>1.85076</v>
      </c>
      <c r="E109" s="4">
        <v>1E-3</v>
      </c>
      <c r="G109" s="4"/>
      <c r="H109" s="4"/>
      <c r="I109" s="4"/>
      <c r="K109" s="4"/>
      <c r="L109" s="4"/>
      <c r="M109" s="4"/>
    </row>
    <row r="110" spans="2:13">
      <c r="B110">
        <v>66</v>
      </c>
      <c r="C110" s="61">
        <v>16.025230000000001</v>
      </c>
      <c r="D110" s="61">
        <v>1.8371200000000001</v>
      </c>
      <c r="E110" s="4">
        <v>7.5000000000000002E-4</v>
      </c>
      <c r="G110" s="4"/>
      <c r="H110" s="4"/>
      <c r="I110" s="4"/>
      <c r="K110" s="4"/>
      <c r="L110" s="4"/>
      <c r="M110" s="4"/>
    </row>
    <row r="111" spans="2:13">
      <c r="B111">
        <v>67</v>
      </c>
      <c r="C111" s="61">
        <v>15.5305</v>
      </c>
      <c r="D111" s="61">
        <v>1.81762</v>
      </c>
      <c r="E111" s="4">
        <v>5.8E-4</v>
      </c>
      <c r="G111" s="4"/>
      <c r="H111" s="4"/>
      <c r="I111" s="4"/>
      <c r="K111" s="4"/>
      <c r="L111" s="4"/>
      <c r="M111" s="4"/>
    </row>
    <row r="112" spans="2:13">
      <c r="B112">
        <v>68</v>
      </c>
      <c r="C112" s="61">
        <v>15.072509999999999</v>
      </c>
      <c r="D112" s="61">
        <v>1.7875799999999999</v>
      </c>
      <c r="E112" s="4">
        <v>3.8999999999999999E-4</v>
      </c>
      <c r="G112" s="4"/>
      <c r="H112" s="4"/>
      <c r="I112" s="4"/>
      <c r="K112" s="4"/>
      <c r="L112" s="4"/>
      <c r="M112" s="4"/>
    </row>
    <row r="113" spans="2:13">
      <c r="B113">
        <v>69</v>
      </c>
      <c r="C113" s="61">
        <v>14.56893</v>
      </c>
      <c r="D113" s="61">
        <v>1.7562899999999999</v>
      </c>
      <c r="E113" s="4">
        <v>2.7999999999999998E-4</v>
      </c>
      <c r="G113" s="4"/>
      <c r="H113" s="4"/>
      <c r="I113" s="4"/>
      <c r="K113" s="4"/>
      <c r="L113" s="4"/>
      <c r="M113" s="4"/>
    </row>
    <row r="114" spans="2:13">
      <c r="B114">
        <v>70</v>
      </c>
      <c r="C114" s="61">
        <v>14.044359999999999</v>
      </c>
      <c r="D114" s="61">
        <v>1.7281</v>
      </c>
      <c r="E114" s="4">
        <v>1.6000000000000001E-4</v>
      </c>
      <c r="G114" s="4"/>
      <c r="H114" s="4"/>
      <c r="I114" s="4"/>
      <c r="K114" s="4"/>
      <c r="L114" s="4"/>
      <c r="M114" s="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>
    <pageSetUpPr fitToPage="1"/>
  </sheetPr>
  <dimension ref="A1:AI95"/>
  <sheetViews>
    <sheetView tabSelected="1" zoomScaleNormal="100"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85546875" style="6" customWidth="1"/>
    <col min="9" max="9" width="14.5703125" style="6" customWidth="1"/>
    <col min="10" max="10" width="10.85546875" style="6" bestFit="1" customWidth="1"/>
    <col min="11" max="11" width="10.140625" style="6" bestFit="1" customWidth="1"/>
    <col min="12" max="27" width="9.140625" style="6"/>
    <col min="28" max="28" width="15.28515625" style="6" customWidth="1"/>
    <col min="29" max="29" width="14.140625" style="6" customWidth="1"/>
    <col min="30" max="30" width="10.7109375" style="6" customWidth="1"/>
    <col min="31" max="31" width="9.140625" style="6"/>
    <col min="32" max="32" width="9.5703125" style="6" bestFit="1" customWidth="1"/>
    <col min="33" max="16384" width="9.140625" style="6"/>
  </cols>
  <sheetData>
    <row r="1" spans="1:35" ht="18">
      <c r="A1" s="1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 t="s">
        <v>76</v>
      </c>
      <c r="AC1" s="57" t="s">
        <v>77</v>
      </c>
      <c r="AD1" s="57" t="s">
        <v>78</v>
      </c>
      <c r="AE1" s="57"/>
      <c r="AF1" s="57"/>
      <c r="AG1" s="57"/>
      <c r="AH1" s="65" t="str">
        <f>LEFT(F5,2)&amp;"."&amp;MID(F5,3,2)&amp;".19"&amp;MID(F5,5,2)</f>
        <v>..19</v>
      </c>
      <c r="AI1" s="57"/>
    </row>
    <row r="2" spans="1:35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 t="s">
        <v>79</v>
      </c>
      <c r="AC2" s="57"/>
      <c r="AD2" s="57"/>
      <c r="AE2" s="57"/>
      <c r="AF2" s="57"/>
      <c r="AG2" s="57"/>
      <c r="AH2" s="57"/>
      <c r="AI2" s="57"/>
    </row>
    <row r="3" spans="1:35">
      <c r="A3" s="5" t="s">
        <v>80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 t="s">
        <v>81</v>
      </c>
      <c r="AA3" s="57">
        <v>1</v>
      </c>
      <c r="AB3" s="66">
        <f>(1+'KJ-vuosi'!B4)^((31-DAY($F$7))/360)</f>
        <v>1.003466091602899</v>
      </c>
      <c r="AC3" s="57">
        <f>+(1+'KJ-vuosi'!B4)^(1/12)</f>
        <v>1.0033540948994528</v>
      </c>
      <c r="AD3" s="67">
        <f>AC4*AD4</f>
        <v>1.0168833519905274</v>
      </c>
      <c r="AE3" s="57"/>
      <c r="AF3" s="57"/>
      <c r="AG3" s="66"/>
      <c r="AH3" s="57"/>
      <c r="AI3" s="57"/>
    </row>
    <row r="4" spans="1:35">
      <c r="A4" s="5"/>
      <c r="B4" s="57" t="s">
        <v>82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>
        <v>2</v>
      </c>
      <c r="AB4" s="66">
        <f>(1+'KJ-vuosi'!B5)^((31-DAY($F$7))/360)</f>
        <v>1.003466091602899</v>
      </c>
      <c r="AC4" s="57">
        <f>+(1+'KJ-vuosi'!B5)^(1/12)</f>
        <v>1.0033540948994528</v>
      </c>
      <c r="AD4" s="67">
        <f t="shared" ref="AD4:AD7" si="0">AC5*AD5</f>
        <v>1.0134840303735744</v>
      </c>
      <c r="AE4" s="57"/>
      <c r="AF4" s="57"/>
      <c r="AG4" s="66"/>
      <c r="AH4" s="57"/>
      <c r="AI4" s="57"/>
    </row>
    <row r="5" spans="1:35">
      <c r="A5" s="57"/>
      <c r="B5" s="57" t="s">
        <v>83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>
        <v>3</v>
      </c>
      <c r="AB5" s="66">
        <f>(1+'KJ-vuosi'!B6)^((31-DAY($F$7))/360)</f>
        <v>1.003466091602899</v>
      </c>
      <c r="AC5" s="57">
        <f>+(1+'KJ-vuosi'!B6)^(1/12)</f>
        <v>1.0033540948994528</v>
      </c>
      <c r="AD5" s="67">
        <f t="shared" si="0"/>
        <v>1.0100960722895507</v>
      </c>
      <c r="AE5" s="57"/>
      <c r="AF5" s="57"/>
      <c r="AG5" s="66"/>
      <c r="AH5" s="57"/>
      <c r="AI5" s="57"/>
    </row>
    <row r="6" spans="1:35">
      <c r="A6" s="57"/>
      <c r="B6" s="57" t="s">
        <v>84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</v>
      </c>
      <c r="AB6" s="66">
        <f>(1+'KJ-vuosi'!B7)^((31-DAY($F$7))/360)</f>
        <v>1.003466091602899</v>
      </c>
      <c r="AC6" s="57">
        <f>+(1+'KJ-vuosi'!B7)^(1/12)</f>
        <v>1.0033540948994528</v>
      </c>
      <c r="AD6" s="67">
        <f t="shared" si="0"/>
        <v>1.0067194397515002</v>
      </c>
      <c r="AE6" s="57"/>
      <c r="AF6" s="57"/>
      <c r="AG6" s="66"/>
      <c r="AH6" s="57"/>
      <c r="AI6" s="57"/>
    </row>
    <row r="7" spans="1:35">
      <c r="A7" s="57"/>
      <c r="B7" s="57" t="s">
        <v>85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>
        <v>5</v>
      </c>
      <c r="AB7" s="66">
        <f>(1+'KJ-vuosi'!B8)^((31-DAY($F$7))/360)</f>
        <v>1.003466091602899</v>
      </c>
      <c r="AC7" s="57">
        <f>+(1+'KJ-vuosi'!B8)^(1/12)</f>
        <v>1.0033540948994528</v>
      </c>
      <c r="AD7" s="67">
        <f t="shared" si="0"/>
        <v>1.0033540948994528</v>
      </c>
      <c r="AE7" s="57"/>
      <c r="AF7" s="57"/>
      <c r="AG7" s="66"/>
      <c r="AH7" s="57"/>
      <c r="AI7" s="57"/>
    </row>
    <row r="8" spans="1:35">
      <c r="A8" s="57"/>
      <c r="B8" s="57" t="s">
        <v>86</v>
      </c>
      <c r="C8" s="57"/>
      <c r="D8" s="57"/>
      <c r="E8" s="57"/>
      <c r="F8" s="87"/>
      <c r="G8" s="8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6</v>
      </c>
      <c r="AB8" s="66">
        <f>(1+'KJ-vuosi'!B9)^((31-DAY($F$7))/360)</f>
        <v>1.003466091602899</v>
      </c>
      <c r="AC8" s="57">
        <f>+(1+'KJ-vuosi'!B9)^(1/12)</f>
        <v>1.0033540948994528</v>
      </c>
      <c r="AD8" s="68">
        <v>1</v>
      </c>
      <c r="AE8" s="57"/>
      <c r="AF8" s="57"/>
      <c r="AG8" s="66"/>
      <c r="AH8" s="57"/>
      <c r="AI8" s="57"/>
    </row>
    <row r="9" spans="1:35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>
        <v>7</v>
      </c>
      <c r="AB9" s="66">
        <f>1/((1+'KJ-vuosi'!B10)^((DAY('Virkamies 1'!$F$7))/360))</f>
        <v>1</v>
      </c>
      <c r="AC9" s="57">
        <f>+(1+'KJ-vuosi'!B10)^(-1/12)</f>
        <v>0.99693686989174457</v>
      </c>
      <c r="AD9" s="68">
        <v>1</v>
      </c>
      <c r="AE9" s="57"/>
      <c r="AF9" s="57"/>
      <c r="AG9" s="66"/>
      <c r="AH9" s="57"/>
      <c r="AI9" s="57"/>
    </row>
    <row r="10" spans="1:35">
      <c r="A10" s="5" t="s">
        <v>87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>
        <v>8</v>
      </c>
      <c r="AB10" s="66">
        <f>1/((1+'KJ-vuosi'!B11)^((DAY('Virkamies 1'!$F$7))/360))</f>
        <v>1</v>
      </c>
      <c r="AC10" s="57">
        <f>+(1+'KJ-vuosi'!B11)^(-1/12)</f>
        <v>0.99693686989174457</v>
      </c>
      <c r="AD10" s="67">
        <f>+AC9</f>
        <v>0.99693686989174457</v>
      </c>
      <c r="AE10" s="57"/>
      <c r="AF10" s="57"/>
      <c r="AG10" s="66"/>
      <c r="AH10" s="57"/>
      <c r="AI10" s="57"/>
    </row>
    <row r="11" spans="1:35">
      <c r="A11" s="5" t="s">
        <v>88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>
        <v>9</v>
      </c>
      <c r="AB11" s="66">
        <f>1/((1+'KJ-vuosi'!B12)^((DAY('Virkamies 1'!$F$7))/360))</f>
        <v>1</v>
      </c>
      <c r="AC11" s="57">
        <f>+(1+'KJ-vuosi'!B12)^(-1/12)</f>
        <v>0.99693686989174457</v>
      </c>
      <c r="AD11" s="67">
        <f>+AD10*AC10</f>
        <v>0.99388312254954925</v>
      </c>
      <c r="AE11" s="57"/>
      <c r="AF11" s="57"/>
      <c r="AG11" s="66"/>
      <c r="AH11" s="57"/>
      <c r="AI11" s="57"/>
    </row>
    <row r="12" spans="1:35">
      <c r="A12" s="57"/>
      <c r="B12" s="57" t="s">
        <v>89</v>
      </c>
      <c r="C12" s="57"/>
      <c r="D12" s="57"/>
      <c r="E12" s="57"/>
      <c r="F12" s="89"/>
      <c r="G12" s="62"/>
      <c r="H12" s="57"/>
      <c r="I12" s="62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10</v>
      </c>
      <c r="AB12" s="66">
        <f>1/((1+'KJ-vuosi'!B13)^((DAY('Virkamies 1'!$F$7))/360))</f>
        <v>1</v>
      </c>
      <c r="AC12" s="57">
        <f>+(1+'KJ-vuosi'!B13)^(-1/12)</f>
        <v>0.99693686989174457</v>
      </c>
      <c r="AD12" s="67">
        <f>+AD11*AC11</f>
        <v>0.99083872923278082</v>
      </c>
      <c r="AE12" s="57"/>
      <c r="AF12" s="66"/>
      <c r="AG12" s="66"/>
      <c r="AH12" s="57"/>
      <c r="AI12" s="57"/>
    </row>
    <row r="13" spans="1:35">
      <c r="A13" s="57"/>
      <c r="B13" s="57" t="s">
        <v>90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11</v>
      </c>
      <c r="AB13" s="66">
        <f>1/((1+'KJ-vuosi'!B14)^((DAY('Virkamies 1'!$F$7))/360))</f>
        <v>1</v>
      </c>
      <c r="AC13" s="57">
        <f>+(1+'KJ-vuosi'!B14)^(-1/12)</f>
        <v>0.99693686989174457</v>
      </c>
      <c r="AD13" s="67">
        <f>+AD12*AC12</f>
        <v>0.98780366128884234</v>
      </c>
      <c r="AE13" s="57"/>
      <c r="AF13" s="57"/>
      <c r="AG13" s="66"/>
      <c r="AH13" s="57"/>
      <c r="AI13" s="57"/>
    </row>
    <row r="14" spans="1:35">
      <c r="A14" s="57"/>
      <c r="B14" s="57" t="s">
        <v>91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>
        <v>12</v>
      </c>
      <c r="AB14" s="66">
        <f>1/((1+'KJ-vuosi'!B15)^((DAY('Virkamies 1'!$F$7))/360))</f>
        <v>1</v>
      </c>
      <c r="AC14" s="57">
        <f>+(1+'KJ-vuosi'!B15)^(-1/12)</f>
        <v>0.99693686989174457</v>
      </c>
      <c r="AD14" s="67">
        <f>+AD13*AC13</f>
        <v>0.98477789015290351</v>
      </c>
      <c r="AE14" s="57"/>
      <c r="AF14" s="57"/>
      <c r="AG14" s="66"/>
      <c r="AH14" s="57"/>
      <c r="AI14" s="57"/>
    </row>
    <row r="15" spans="1:35">
      <c r="A15" s="57"/>
      <c r="B15" s="57" t="s">
        <v>92</v>
      </c>
      <c r="C15" s="57"/>
      <c r="D15" s="57"/>
      <c r="E15" s="57"/>
      <c r="F15" s="74"/>
      <c r="G15" s="57"/>
      <c r="H15" s="57"/>
      <c r="I15" s="75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67"/>
      <c r="AE15" s="57"/>
      <c r="AF15" s="57"/>
      <c r="AG15" s="66"/>
      <c r="AH15" s="57"/>
      <c r="AI15" s="57"/>
    </row>
    <row r="16" spans="1:35">
      <c r="A16" s="57"/>
      <c r="B16" s="57" t="s">
        <v>93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67"/>
      <c r="AE16" s="57"/>
      <c r="AF16" s="57"/>
      <c r="AG16" s="57"/>
      <c r="AH16" s="57"/>
      <c r="AI16" s="57"/>
    </row>
    <row r="17" spans="1:35">
      <c r="A17" s="57"/>
      <c r="B17" s="57" t="s">
        <v>94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67"/>
      <c r="AE17" s="57"/>
      <c r="AF17" s="57"/>
      <c r="AG17" s="57"/>
      <c r="AH17" s="57"/>
      <c r="AI17" s="57"/>
    </row>
    <row r="18" spans="1:35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67"/>
      <c r="AE18" s="57"/>
      <c r="AF18" s="57"/>
      <c r="AG18" s="57"/>
      <c r="AH18" s="57"/>
      <c r="AI18" s="57"/>
    </row>
    <row r="19" spans="1:35">
      <c r="A19" s="5" t="s">
        <v>95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67"/>
      <c r="AE19" s="57"/>
      <c r="AF19" s="57"/>
      <c r="AG19" s="57"/>
      <c r="AH19" s="57"/>
      <c r="AI19" s="57"/>
    </row>
    <row r="20" spans="1:35">
      <c r="A20" s="5" t="s">
        <v>88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 t="s">
        <v>76</v>
      </c>
      <c r="AC20" s="57" t="s">
        <v>77</v>
      </c>
      <c r="AD20" s="67" t="s">
        <v>78</v>
      </c>
      <c r="AE20" s="57"/>
      <c r="AF20" s="57"/>
      <c r="AG20" s="57"/>
      <c r="AH20" s="65" t="str">
        <f>LEFT(F5,2)&amp;"."&amp;MID(F5,3,2)&amp;".19"&amp;MID(F5,5,2)</f>
        <v>..19</v>
      </c>
      <c r="AI20" s="57"/>
    </row>
    <row r="21" spans="1:35">
      <c r="A21" s="57"/>
      <c r="B21" s="57" t="s">
        <v>96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 t="s">
        <v>79</v>
      </c>
      <c r="AC21" s="57"/>
      <c r="AD21" s="67"/>
      <c r="AE21" s="57"/>
      <c r="AF21" s="57"/>
      <c r="AG21" s="57"/>
      <c r="AH21" s="57"/>
      <c r="AI21" s="57"/>
    </row>
    <row r="22" spans="1:35">
      <c r="A22" s="57"/>
      <c r="B22" s="57" t="s">
        <v>97</v>
      </c>
      <c r="C22" s="57"/>
      <c r="D22" s="57"/>
      <c r="E22" s="57"/>
      <c r="F22" s="74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98</v>
      </c>
      <c r="AA22" s="57">
        <v>1</v>
      </c>
      <c r="AB22" s="66">
        <f>(1+'KJ-vuosi'!$B$16)^((31-DAY($F$7))/360)</f>
        <v>1.003466091602899</v>
      </c>
      <c r="AC22" s="57">
        <f>+(1+'KJ-vuosi'!B16)^(1/12)</f>
        <v>1.0033540948994528</v>
      </c>
      <c r="AD22" s="67">
        <f>AC23*AD23</f>
        <v>1.0168833519905274</v>
      </c>
      <c r="AE22" s="57"/>
      <c r="AF22" s="57"/>
      <c r="AG22" s="57"/>
      <c r="AH22" s="57"/>
      <c r="AI22" s="57"/>
    </row>
    <row r="23" spans="1:35">
      <c r="A23" s="57"/>
      <c r="B23" s="57" t="s">
        <v>99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>
        <v>2</v>
      </c>
      <c r="AB23" s="66">
        <f>(1+'KJ-vuosi'!$B$16)^((31-DAY($F$7))/360)</f>
        <v>1.003466091602899</v>
      </c>
      <c r="AC23" s="57">
        <f>+(1+'KJ-vuosi'!B16)^(1/12)</f>
        <v>1.0033540948994528</v>
      </c>
      <c r="AD23" s="67">
        <f t="shared" ref="AD23:AD26" si="1">AC24*AD24</f>
        <v>1.0134840303735744</v>
      </c>
      <c r="AE23" s="57"/>
      <c r="AF23" s="57"/>
      <c r="AG23" s="57"/>
      <c r="AH23" s="57"/>
      <c r="AI23" s="57"/>
    </row>
    <row r="24" spans="1:35">
      <c r="A24" s="57"/>
      <c r="B24" s="57" t="s">
        <v>100</v>
      </c>
      <c r="C24" s="57"/>
      <c r="D24" s="57"/>
      <c r="E24" s="57"/>
      <c r="F24" s="74"/>
      <c r="G24" s="62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>
        <v>3</v>
      </c>
      <c r="AB24" s="66">
        <f>(1+'KJ-vuosi'!$B$16)^((31-DAY($F$7))/360)</f>
        <v>1.003466091602899</v>
      </c>
      <c r="AC24" s="57">
        <f>+(1+'KJ-vuosi'!B16)^(1/12)</f>
        <v>1.0033540948994528</v>
      </c>
      <c r="AD24" s="67">
        <f t="shared" si="1"/>
        <v>1.0100960722895507</v>
      </c>
      <c r="AE24" s="57"/>
      <c r="AF24" s="57"/>
      <c r="AG24" s="57"/>
      <c r="AH24" s="57"/>
      <c r="AI24" s="57"/>
    </row>
    <row r="25" spans="1:35">
      <c r="A25" s="57"/>
      <c r="B25" s="57" t="s">
        <v>101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>
        <v>4</v>
      </c>
      <c r="AB25" s="66">
        <f>(1+'KJ-vuosi'!$B$16)^((31-DAY($F$7))/360)</f>
        <v>1.003466091602899</v>
      </c>
      <c r="AC25" s="57">
        <f>+(1+'KJ-vuosi'!B16)^(1/12)</f>
        <v>1.0033540948994528</v>
      </c>
      <c r="AD25" s="67">
        <f t="shared" si="1"/>
        <v>1.0067194397515002</v>
      </c>
      <c r="AE25" s="57"/>
      <c r="AF25" s="57"/>
      <c r="AG25" s="57"/>
      <c r="AH25" s="57"/>
      <c r="AI25" s="57"/>
    </row>
    <row r="26" spans="1:35">
      <c r="A26" s="57"/>
      <c r="B26" s="57" t="s">
        <v>102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5</v>
      </c>
      <c r="AB26" s="66">
        <f>(1+'KJ-vuosi'!$B$16)^((31-DAY($F$7))/360)</f>
        <v>1.003466091602899</v>
      </c>
      <c r="AC26" s="57">
        <f>+(1+'KJ-vuosi'!B16)^(1/12)</f>
        <v>1.0033540948994528</v>
      </c>
      <c r="AD26" s="67">
        <f t="shared" si="1"/>
        <v>1.0033540948994528</v>
      </c>
      <c r="AE26" s="57"/>
      <c r="AF26" s="57"/>
      <c r="AG26" s="57"/>
      <c r="AH26" s="57"/>
      <c r="AI26" s="57"/>
    </row>
    <row r="27" spans="1:3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6</v>
      </c>
      <c r="AB27" s="66">
        <f>(1+'KJ-vuosi'!$B$16)^((31-DAY($F$7))/360)</f>
        <v>1.003466091602899</v>
      </c>
      <c r="AC27" s="57">
        <f>+(1+'KJ-vuosi'!B16)^(1/12)</f>
        <v>1.0033540948994528</v>
      </c>
      <c r="AD27" s="68">
        <v>1</v>
      </c>
      <c r="AE27" s="57"/>
      <c r="AF27" s="57"/>
      <c r="AG27" s="57"/>
      <c r="AH27" s="57"/>
      <c r="AI27" s="57"/>
    </row>
    <row r="28" spans="1:35">
      <c r="A28" s="5" t="s">
        <v>103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7</v>
      </c>
      <c r="AB28" s="66">
        <f>1/((1+'KJ-vuosi'!$B$16)^((DAY('Virkamies 1'!$F$7))/360))</f>
        <v>1</v>
      </c>
      <c r="AC28" s="57">
        <f>+(1+'KJ-vuosi'!B16)^(-1/12)</f>
        <v>0.99665711744587149</v>
      </c>
      <c r="AD28" s="68">
        <v>1</v>
      </c>
      <c r="AE28" s="57"/>
      <c r="AF28" s="57"/>
      <c r="AG28" s="57"/>
      <c r="AH28" s="57"/>
      <c r="AI28" s="57"/>
    </row>
    <row r="29" spans="1:35">
      <c r="A29" s="57"/>
      <c r="B29" s="57" t="s">
        <v>104</v>
      </c>
      <c r="C29" s="57"/>
      <c r="D29" s="57"/>
      <c r="E29" s="57"/>
      <c r="F29" s="74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8</v>
      </c>
      <c r="AB29" s="66">
        <f>1/((1+'KJ-vuosi'!$B$16)^((DAY('Virkamies 1'!$F$7))/360))</f>
        <v>1</v>
      </c>
      <c r="AC29" s="57">
        <f>+(1+'KJ-vuosi'!B16)^(-1/12)</f>
        <v>0.99665711744587149</v>
      </c>
      <c r="AD29" s="67">
        <f>AC28</f>
        <v>0.99665711744587149</v>
      </c>
      <c r="AE29" s="57"/>
      <c r="AF29" s="57"/>
      <c r="AG29" s="57"/>
      <c r="AH29" s="57"/>
      <c r="AI29" s="57"/>
    </row>
    <row r="30" spans="1:35">
      <c r="A30" s="57"/>
      <c r="B30" s="57" t="s">
        <v>105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9</v>
      </c>
      <c r="AB30" s="66">
        <f>1/((1+'KJ-vuosi'!$B$16)^((DAY('Virkamies 1'!$F$7))/360))</f>
        <v>1</v>
      </c>
      <c r="AC30" s="57">
        <f>+(1+'KJ-vuosi'!B16)^(-1/12)</f>
        <v>0.99665711744587149</v>
      </c>
      <c r="AD30" s="67">
        <f>AD29*AC29</f>
        <v>0.99332540975551364</v>
      </c>
      <c r="AE30" s="57"/>
      <c r="AF30" s="57"/>
      <c r="AG30" s="57"/>
      <c r="AH30" s="57"/>
      <c r="AI30" s="57"/>
    </row>
    <row r="31" spans="1:35">
      <c r="A31" s="57"/>
      <c r="B31" s="57" t="s">
        <v>106</v>
      </c>
      <c r="C31" s="57"/>
      <c r="D31" s="57"/>
      <c r="E31" s="57"/>
      <c r="F31" s="74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10</v>
      </c>
      <c r="AB31" s="66">
        <f>1/((1+'KJ-vuosi'!$B$16)^((DAY('Virkamies 1'!$F$7))/360))</f>
        <v>1</v>
      </c>
      <c r="AC31" s="57">
        <f>+(1+'KJ-vuosi'!B16)^(-1/12)</f>
        <v>0.99665711744587149</v>
      </c>
      <c r="AD31" s="67">
        <f>AD30*AC30</f>
        <v>0.99000483957266938</v>
      </c>
      <c r="AE31" s="57"/>
      <c r="AF31" s="57"/>
      <c r="AG31" s="57"/>
      <c r="AH31" s="57"/>
      <c r="AI31" s="57"/>
    </row>
    <row r="32" spans="1:35">
      <c r="A32" s="57"/>
      <c r="B32" s="57" t="s">
        <v>107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>
        <v>11</v>
      </c>
      <c r="AB32" s="66">
        <f>1/((1+'KJ-vuosi'!$B$16)^((DAY('Virkamies 1'!$F$7))/360))</f>
        <v>1</v>
      </c>
      <c r="AC32" s="57">
        <f>+(1+'KJ-vuosi'!B16)^(-1/12)</f>
        <v>0.99665711744587149</v>
      </c>
      <c r="AD32" s="67">
        <f>AD31*AC31</f>
        <v>0.98669536966595905</v>
      </c>
      <c r="AE32" s="57"/>
      <c r="AF32" s="57"/>
      <c r="AG32" s="57"/>
      <c r="AH32" s="57"/>
      <c r="AI32" s="57"/>
    </row>
    <row r="33" spans="1:35">
      <c r="A33" s="57"/>
      <c r="B33" s="57" t="s">
        <v>108</v>
      </c>
      <c r="C33" s="57"/>
      <c r="D33" s="57"/>
      <c r="E33" s="57"/>
      <c r="F33" s="74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12</v>
      </c>
      <c r="AB33" s="66">
        <f>1/((1+'KJ-vuosi'!$B$16)^((DAY('Virkamies 1'!$F$7))/360))</f>
        <v>1</v>
      </c>
      <c r="AC33" s="57">
        <f>+(1+'KJ-vuosi'!B16)^(-1/12)</f>
        <v>0.99665711744587149</v>
      </c>
      <c r="AD33" s="67">
        <f>AD32*AC32</f>
        <v>0.98339696292846335</v>
      </c>
      <c r="AE33" s="57"/>
      <c r="AF33" s="57"/>
      <c r="AG33" s="57"/>
      <c r="AH33" s="57"/>
      <c r="AI33" s="57"/>
    </row>
    <row r="34" spans="1:35">
      <c r="A34" s="57"/>
      <c r="B34" s="57" t="s">
        <v>109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</row>
    <row r="36" spans="1:35">
      <c r="A36" s="57" t="s">
        <v>110</v>
      </c>
      <c r="B36" s="57"/>
      <c r="C36" s="57"/>
      <c r="D36" s="57"/>
      <c r="E36" s="57"/>
      <c r="F36" s="62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</row>
    <row r="38" spans="1:35" ht="18">
      <c r="A38" s="1" t="s">
        <v>111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</row>
    <row r="39" spans="1:35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</row>
    <row r="40" spans="1:35">
      <c r="A40" s="57" t="s">
        <v>112</v>
      </c>
      <c r="B40" s="57"/>
      <c r="C40" s="57"/>
      <c r="D40" s="63">
        <f>IF(F6="",18,YEAR(F6)-(1900+MID(F5,5,2)))</f>
        <v>18</v>
      </c>
      <c r="E40" s="57"/>
      <c r="F40" s="62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1" spans="1:35">
      <c r="A41" s="57" t="s">
        <v>151</v>
      </c>
      <c r="B41" s="57"/>
      <c r="C41" s="57"/>
      <c r="D41" s="76" t="str">
        <f>+"1.7."&amp;TEXT('KJ-vuosi'!$B$3,0)</f>
        <v>1.7.2024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</row>
    <row r="42" spans="1:35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</row>
    <row r="43" spans="1:35">
      <c r="A43" s="5" t="s">
        <v>113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</row>
    <row r="44" spans="1:35">
      <c r="A44" s="57"/>
      <c r="B44" s="57"/>
      <c r="C44" s="58" t="s">
        <v>114</v>
      </c>
      <c r="D44" s="58" t="s">
        <v>115</v>
      </c>
      <c r="E44" s="58" t="s">
        <v>116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</row>
    <row r="45" spans="1:35">
      <c r="A45" s="57"/>
      <c r="B45" s="57"/>
      <c r="C45" s="58" t="s">
        <v>117</v>
      </c>
      <c r="D45" s="77" t="s">
        <v>118</v>
      </c>
      <c r="E45" s="58" t="s">
        <v>119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</row>
    <row r="46" spans="1:35">
      <c r="A46" s="57"/>
      <c r="B46" s="57"/>
      <c r="C46" s="78"/>
      <c r="D46" s="77" t="s">
        <v>120</v>
      </c>
      <c r="E46" s="58" t="str">
        <f>+D41&amp;")"</f>
        <v>1.7.2024)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</row>
    <row r="47" spans="1:35">
      <c r="A47" s="57"/>
      <c r="B47" s="57"/>
      <c r="C47" s="78"/>
      <c r="D47" s="57"/>
      <c r="E47" s="77"/>
      <c r="F47" s="57"/>
      <c r="G47" s="57"/>
      <c r="H47" s="57"/>
      <c r="I47" s="62"/>
      <c r="J47" s="62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</row>
    <row r="48" spans="1:35">
      <c r="A48" s="5" t="s">
        <v>121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</row>
    <row r="49" spans="1:11">
      <c r="A49" s="57"/>
      <c r="B49" s="57"/>
      <c r="C49" s="58" t="s">
        <v>122</v>
      </c>
      <c r="D49" s="58" t="s">
        <v>122</v>
      </c>
      <c r="E49" s="58" t="s">
        <v>122</v>
      </c>
      <c r="F49" s="58"/>
      <c r="G49" s="58" t="s">
        <v>123</v>
      </c>
      <c r="H49" s="57"/>
      <c r="I49" s="62"/>
      <c r="J49" s="57"/>
      <c r="K49" s="57"/>
    </row>
    <row r="50" spans="1:11">
      <c r="A50" s="5"/>
      <c r="B50" s="57"/>
      <c r="C50" s="79">
        <f>'Virkamies 1'!F$6</f>
        <v>0</v>
      </c>
      <c r="D50" s="79">
        <f>'Virkamies 1'!F$8</f>
        <v>0</v>
      </c>
      <c r="E50" s="76" t="str">
        <f>$D$41</f>
        <v>1.7.2024</v>
      </c>
      <c r="F50" s="79"/>
      <c r="G50" s="58" t="s">
        <v>124</v>
      </c>
      <c r="H50" s="57"/>
      <c r="I50" s="57" t="s">
        <v>125</v>
      </c>
      <c r="J50" s="57"/>
      <c r="K50" s="47"/>
    </row>
    <row r="51" spans="1:11">
      <c r="A51" s="80" t="s">
        <v>126</v>
      </c>
      <c r="B51" s="57"/>
      <c r="C51" s="62">
        <f>C54-C53-C52</f>
        <v>0</v>
      </c>
      <c r="D51" s="62">
        <f>D54-D53-D52</f>
        <v>0</v>
      </c>
      <c r="E51" s="11">
        <f>ROUND(D51*(VLOOKUP(MONTH('Virkamies 1'!$F$7),aika1,4))*(VLOOKUP(MONTH('Virkamies 1'!$F$7),aika1,2)),2)</f>
        <v>0</v>
      </c>
      <c r="F51" s="57"/>
      <c r="G51" s="58" t="s">
        <v>127</v>
      </c>
      <c r="H51" s="57"/>
      <c r="I51" s="57" t="s">
        <v>128</v>
      </c>
      <c r="J51" s="57"/>
      <c r="K51" s="47"/>
    </row>
    <row r="52" spans="1:11">
      <c r="A52" s="80" t="s">
        <v>129</v>
      </c>
      <c r="B52" s="57"/>
      <c r="C52" s="62">
        <f>'Virkamies 1'!$F$12*12*VLOOKUP($D$40,IF(YEAR($F$6)=vuosi,'poa2024'!$F$5:$I$57,IF(YEAR($F$6)=vuosi1,vastuunjako1,vastuunjako2)),3)</f>
        <v>0</v>
      </c>
      <c r="D52" s="62">
        <f>C52*(1+0.031*((IF(DAY('Virkamies 1'!$F$8)=31,DAYS360('Virkamies 1'!$F$6,'Virkamies 1'!$F$8,TRUE)-1,DAYS360('Virkamies 1'!$F$6,'Virkamies 1'!$F$8,TRUE)))/360))</f>
        <v>0</v>
      </c>
      <c r="E52" s="81">
        <f>ROUND(D52*(VLOOKUP(MONTH('Virkamies 1'!$F$7),aika1,4))*(VLOOKUP(MONTH('Virkamies 1'!$F$7),aika1,2)),2)</f>
        <v>0</v>
      </c>
      <c r="F52" s="57"/>
      <c r="G52" s="47">
        <f>E52</f>
        <v>0</v>
      </c>
      <c r="H52" s="57"/>
      <c r="I52" s="57"/>
      <c r="J52" s="57"/>
      <c r="K52" s="47"/>
    </row>
    <row r="53" spans="1:11">
      <c r="A53" s="82" t="s">
        <v>130</v>
      </c>
      <c r="B53" s="83"/>
      <c r="C53" s="84">
        <f>'Virkamies 1'!$F$12*12*VLOOKUP($D$40,IF(YEAR($F$6)=vuosi,'poa2024'!$F$5:$I$57,IF(YEAR($F$6)=vuosi1,vastuunjako1,vastuunjako2)),4)</f>
        <v>0</v>
      </c>
      <c r="D53" s="84">
        <f>C53*(1+0.031*((IF(DAY('Virkamies 1'!$F$8)=31,DAYS360('Virkamies 1'!$F$6,'Virkamies 1'!$F$8,TRUE)-1,DAYS360('Virkamies 1'!$F$6,'Virkamies 1'!$F$8,TRUE)))/360))</f>
        <v>0</v>
      </c>
      <c r="E53" s="85">
        <f>ROUND(D53*(VLOOKUP(MONTH('Virkamies 1'!$F$7),aika1,4))*(VLOOKUP(MONTH('Virkamies 1'!$F$7),aika1,2)),2)</f>
        <v>0</v>
      </c>
      <c r="F53" s="57"/>
      <c r="G53" s="84">
        <f>E53</f>
        <v>0</v>
      </c>
      <c r="H53" s="57"/>
      <c r="I53" s="83"/>
      <c r="J53" s="57"/>
      <c r="K53" s="47"/>
    </row>
    <row r="54" spans="1:11">
      <c r="A54" s="57" t="s">
        <v>131</v>
      </c>
      <c r="B54" s="57"/>
      <c r="C54" s="62">
        <f>'Virkamies 1'!$F$12*12*VLOOKUP($D$40,IF(YEAR($F$6)=vuosi,'poa2024'!$B$5:$C$57,IF(YEAR($F$6)=vuosi1,perusturva1,perusturva2)),2)</f>
        <v>0</v>
      </c>
      <c r="D54" s="62">
        <f>C54*(1+0.031*((IF(DAY('Virkamies 1'!$F$8)=31,DAYS360('Virkamies 1'!$F$6,'Virkamies 1'!$F$8,TRUE)-1,DAYS360('Virkamies 1'!$F$6,'Virkamies 1'!$F$8,TRUE)))/360))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1'!$F$14*12*VLOOKUP($D$40,IF(YEAR($F$6)=vuosi,'poa2024'!B5:C57,IF(YEAR($F$6)=vuosi1,perusturva1,perusturva2)),2))*(1+0.031*((IF(DAY('Virkamies 1'!$F$8)=31,DAYS360('Virkamies 1'!$F$6,'Virkamies 1'!$F$8,TRUE)-1,DAYS360('Virkamies 1'!$F$6,'Virkamies 1'!$F$8,TRUE)))/360))*(VLOOKUP(MONTH('Virkamies 1'!$F$7),aika1,4))*(VLOOKUP(MONTH('Virkamies 1'!$F$7),aika1,2))),2)</f>
        <v>0</v>
      </c>
      <c r="J54" s="57"/>
      <c r="K54" s="47"/>
    </row>
    <row r="55" spans="1:11">
      <c r="A55" s="57"/>
      <c r="B55" s="57"/>
      <c r="C55" s="62"/>
      <c r="D55" s="62"/>
      <c r="E55" s="62"/>
      <c r="F55" s="57"/>
      <c r="G55" s="57"/>
      <c r="H55" s="57"/>
      <c r="I55" s="57"/>
      <c r="J55" s="57"/>
      <c r="K55" s="57"/>
    </row>
    <row r="56" spans="1:11">
      <c r="A56" s="5" t="s">
        <v>132</v>
      </c>
      <c r="B56" s="57"/>
      <c r="C56" s="62"/>
      <c r="D56" s="62"/>
      <c r="E56" s="62"/>
      <c r="F56" s="57"/>
      <c r="G56" s="57"/>
      <c r="H56" s="57"/>
      <c r="I56" s="62"/>
      <c r="J56" s="57"/>
      <c r="K56" s="57"/>
    </row>
    <row r="57" spans="1:11">
      <c r="A57" s="57"/>
      <c r="B57" s="57"/>
      <c r="C57" s="58" t="s">
        <v>122</v>
      </c>
      <c r="D57" s="58" t="s">
        <v>122</v>
      </c>
      <c r="E57" s="58" t="s">
        <v>122</v>
      </c>
      <c r="F57" s="57"/>
      <c r="G57" s="57"/>
      <c r="H57" s="57"/>
      <c r="I57" s="57"/>
      <c r="J57" s="57"/>
      <c r="K57" s="57"/>
    </row>
    <row r="58" spans="1:11">
      <c r="A58" s="5"/>
      <c r="B58" s="57"/>
      <c r="C58" s="79">
        <f>'Virkamies 1'!F$6</f>
        <v>0</v>
      </c>
      <c r="D58" s="79">
        <f>'Virkamies 1'!F$8</f>
        <v>0</v>
      </c>
      <c r="E58" s="76" t="str">
        <f>$D$41</f>
        <v>1.7.2024</v>
      </c>
      <c r="F58" s="57"/>
      <c r="G58" s="57"/>
      <c r="H58" s="57"/>
      <c r="I58" s="57"/>
      <c r="J58" s="57"/>
      <c r="K58" s="57"/>
    </row>
    <row r="59" spans="1:11">
      <c r="A59" s="80" t="s">
        <v>126</v>
      </c>
      <c r="B59" s="57"/>
      <c r="C59" s="62">
        <f>C62-C61-C60</f>
        <v>0</v>
      </c>
      <c r="D59" s="62">
        <f>+D62-D61-D60</f>
        <v>0</v>
      </c>
      <c r="E59" s="11">
        <f>ROUND(D59*(VLOOKUP(MONTH('Virkamies 1'!$F$7),aika1,4))*(VLOOKUP(MONTH('Virkamies 1'!$F$7),aika1,2)),2)</f>
        <v>0</v>
      </c>
      <c r="F59" s="57"/>
      <c r="G59" s="57"/>
      <c r="H59" s="57"/>
      <c r="I59" s="57"/>
      <c r="J59" s="57"/>
      <c r="K59" s="57"/>
    </row>
    <row r="60" spans="1:11">
      <c r="A60" s="80" t="s">
        <v>129</v>
      </c>
      <c r="B60" s="57"/>
      <c r="C60" s="62">
        <f>'Virkamies 1'!$F$13*12*VLOOKUP($D$40,IF(YEAR($F$6)=vuosi,'poa2024'!$F$5:$I$57,IF(YEAR($F$6)=vuosi1,vastuunjako1,vastuunjako2)),3)</f>
        <v>0</v>
      </c>
      <c r="D60" s="62">
        <f>C60*(1+0.031*((IF(DAY('Virkamies 1'!$F$8)=31,DAYS360('Virkamies 1'!$F$6,'Virkamies 1'!$F$8,TRUE)-1,DAYS360('Virkamies 1'!$F$6,'Virkamies 1'!$F$8,TRUE)))/360))</f>
        <v>0</v>
      </c>
      <c r="E60" s="81">
        <f>ROUND(D60*(VLOOKUP(MONTH('Virkamies 1'!$F$7),aika1,4))*(VLOOKUP(MONTH('Virkamies 1'!$F$7),aika1,2)),2)</f>
        <v>0</v>
      </c>
      <c r="F60" s="57"/>
      <c r="G60" s="57"/>
      <c r="H60" s="57"/>
      <c r="I60" s="57"/>
      <c r="J60" s="57"/>
      <c r="K60" s="57"/>
    </row>
    <row r="61" spans="1:11">
      <c r="A61" s="82" t="s">
        <v>130</v>
      </c>
      <c r="B61" s="83"/>
      <c r="C61" s="84">
        <f>'Virkamies 1'!$F$13*12*VLOOKUP($D$40,IF(YEAR($F$6)=vuosi,'poa2024'!$F$5:$I$57,IF(YEAR($F$6)=vuosi1,vastuunjako1,vastuunjako2)),4)</f>
        <v>0</v>
      </c>
      <c r="D61" s="84">
        <f>C61*(1+0.031*((IF(DAY('Virkamies 1'!$F$8)=31,DAYS360('Virkamies 1'!$F$6,'Virkamies 1'!$F$8,TRUE)-1,DAYS360('Virkamies 1'!$F$6,'Virkamies 1'!$F$8,TRUE)))/360))</f>
        <v>0</v>
      </c>
      <c r="E61" s="85">
        <f>ROUND(D61*(VLOOKUP(MONTH('Virkamies 1'!$F$7),aika1,4))*(VLOOKUP(MONTH('Virkamies 1'!$F$7),aika1,2)),2)</f>
        <v>0</v>
      </c>
      <c r="F61" s="57"/>
      <c r="G61" s="57"/>
      <c r="H61" s="57"/>
      <c r="I61" s="57"/>
      <c r="J61" s="57"/>
      <c r="K61" s="57"/>
    </row>
    <row r="62" spans="1:11">
      <c r="A62" s="57" t="s">
        <v>131</v>
      </c>
      <c r="B62" s="57"/>
      <c r="C62" s="62">
        <f>'Virkamies 1'!$F$13*12*VLOOKUP($D$40,IF(YEAR($F$6)=vuosi,'poa2024'!$B$5:$C$57,IF(YEAR($F$6)=vuosi1,perusturva1,perusturva2)),2)</f>
        <v>0</v>
      </c>
      <c r="D62" s="62">
        <f>C62*(1+0.031*((IF(DAY('Virkamies 1'!$F$8)=31,DAYS360('Virkamies 1'!$F$6,'Virkamies 1'!$F$8,TRUE)-1,DAYS360('Virkamies 1'!$F$6,'Virkamies 1'!$F$8,TRUE)))/360))</f>
        <v>0</v>
      </c>
      <c r="E62" s="62">
        <f>SUM(E59:E61)</f>
        <v>0</v>
      </c>
      <c r="F62" s="25"/>
      <c r="G62" s="57"/>
      <c r="H62" s="57"/>
      <c r="I62" s="57"/>
      <c r="J62" s="57"/>
      <c r="K62" s="57"/>
    </row>
    <row r="63" spans="1:11">
      <c r="A63" s="57"/>
      <c r="B63" s="57"/>
      <c r="C63" s="62"/>
      <c r="D63" s="62"/>
      <c r="E63" s="62"/>
      <c r="F63" s="57"/>
      <c r="G63" s="57"/>
      <c r="H63" s="57"/>
      <c r="I63" s="57"/>
      <c r="J63" s="57"/>
      <c r="K63" s="57"/>
    </row>
    <row r="64" spans="1:11">
      <c r="A64" s="5" t="s">
        <v>133</v>
      </c>
      <c r="B64" s="57"/>
      <c r="C64" s="62"/>
      <c r="D64" s="57"/>
      <c r="E64" s="57"/>
      <c r="F64" s="57"/>
      <c r="G64" s="57"/>
      <c r="H64" s="57"/>
      <c r="I64" s="57"/>
      <c r="J64" s="57"/>
      <c r="K64" s="57"/>
    </row>
    <row r="65" spans="1:9">
      <c r="A65" s="5"/>
      <c r="B65" s="57"/>
      <c r="C65" s="58" t="s">
        <v>122</v>
      </c>
      <c r="D65" s="58" t="s">
        <v>122</v>
      </c>
      <c r="E65" s="58" t="s">
        <v>122</v>
      </c>
      <c r="F65" s="57"/>
      <c r="G65" s="58" t="s">
        <v>123</v>
      </c>
      <c r="H65" s="57"/>
      <c r="I65" s="57"/>
    </row>
    <row r="66" spans="1:9">
      <c r="A66" s="5"/>
      <c r="B66" s="57"/>
      <c r="C66" s="79">
        <f>'Virkamies 1'!F$6</f>
        <v>0</v>
      </c>
      <c r="D66" s="79">
        <f>'Virkamies 1'!F$8</f>
        <v>0</v>
      </c>
      <c r="E66" s="76" t="str">
        <f>$D$41</f>
        <v>1.7.2024</v>
      </c>
      <c r="F66" s="57"/>
      <c r="G66" s="58" t="s">
        <v>134</v>
      </c>
      <c r="H66" s="57"/>
      <c r="I66" s="4"/>
    </row>
    <row r="67" spans="1:9">
      <c r="A67" s="80" t="s">
        <v>126</v>
      </c>
      <c r="B67" s="57"/>
      <c r="C67" s="62">
        <f>C70-C69-C68</f>
        <v>0</v>
      </c>
      <c r="D67" s="62">
        <f>D70-D69-D68</f>
        <v>0</v>
      </c>
      <c r="E67" s="11">
        <f>ROUND(D67*(VLOOKUP(MONTH('Virkamies 1'!$F$7),aikaYEL1,4))*(VLOOKUP(MONTH('Virkamies 1'!$F$7),aikaYEL1,2)),2)</f>
        <v>0</v>
      </c>
      <c r="F67" s="57"/>
      <c r="G67" s="58" t="s">
        <v>135</v>
      </c>
      <c r="H67" s="57"/>
      <c r="I67" s="57"/>
    </row>
    <row r="68" spans="1:9">
      <c r="A68" s="80" t="s">
        <v>129</v>
      </c>
      <c r="B68" s="57"/>
      <c r="C68" s="62">
        <f>'Virkamies 1'!$F$15*12*VLOOKUP($D$40,IF(YEAR($F$6)=vuosi,'poa2024'!$F$5:$I$57,IF(YEAR($F$6)=vuosi1,vastuunjako1,vastuunjako2)),3)</f>
        <v>0</v>
      </c>
      <c r="D68" s="62">
        <f>C68*(1+0.031*((IF(DAY('Virkamies 1'!$F$8)=31,DAYS360('Virkamies 1'!$F$6,'Virkamies 1'!$F$8,TRUE)-1,DAYS360('Virkamies 1'!$F$6,'Virkamies 1'!$F$8,TRUE)))/360))</f>
        <v>0</v>
      </c>
      <c r="E68" s="81">
        <f>ROUND(D68*(VLOOKUP(MONTH('Virkamies 1'!$F$7),aikaYEL1,4))*(VLOOKUP(MONTH('Virkamies 1'!$F$7),aikaYEL1,2)),2)</f>
        <v>0</v>
      </c>
      <c r="F68" s="57"/>
      <c r="G68" s="62">
        <f>E68</f>
        <v>0</v>
      </c>
      <c r="H68" s="57"/>
      <c r="I68" s="57"/>
    </row>
    <row r="69" spans="1:9">
      <c r="A69" s="82" t="s">
        <v>130</v>
      </c>
      <c r="B69" s="83"/>
      <c r="C69" s="84">
        <f>'Virkamies 1'!$F$15*12*VLOOKUP($D$40,IF(YEAR($F$6)=vuosi,'poa2024'!$F$5:$I$57,IF(YEAR($F$6)=vuosi1,vastuunjako1,vastuunjako2)),4)</f>
        <v>0</v>
      </c>
      <c r="D69" s="84">
        <f>C69*(1+0.031*((IF(DAY('Virkamies 1'!$F$8)=31,DAYS360('Virkamies 1'!$F$6,'Virkamies 1'!$F$8,TRUE)-1,DAYS360('Virkamies 1'!$F$6,'Virkamies 1'!$F$8,TRUE)))/360))</f>
        <v>0</v>
      </c>
      <c r="E69" s="85">
        <f>ROUND(D69*(VLOOKUP(MONTH('Virkamies 1'!$F$7),aikaYEL1,4))*(VLOOKUP(MONTH('Virkamies 1'!$F$7),aikaYEL1,2)),2)</f>
        <v>0</v>
      </c>
      <c r="F69" s="57"/>
      <c r="G69" s="84">
        <f>E69</f>
        <v>0</v>
      </c>
      <c r="H69" s="57"/>
      <c r="I69" s="57"/>
    </row>
    <row r="70" spans="1:9">
      <c r="A70" s="57" t="s">
        <v>131</v>
      </c>
      <c r="B70" s="57"/>
      <c r="C70" s="62">
        <f>'Virkamies 1'!$F$15*12*VLOOKUP($D$40,IF(YEAR($F$6)=vuosi,'poa2024'!$B$5:$C$57,IF(YEAR($F$6)=vuosi1,perusturva1,perusturva2)),2)</f>
        <v>0</v>
      </c>
      <c r="D70" s="62">
        <f>C70*(1+0.031*((IF(DAY('Virkamies 1'!$F$8)=31,DAYS360('Virkamies 1'!$F$6,'Virkamies 1'!$F$8,TRUE)-1,DAYS360('Virkamies 1'!$F$6,'Virkamies 1'!$F$8,TRUE)))/360))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</row>
    <row r="71" spans="1:9">
      <c r="A71" s="57"/>
      <c r="B71" s="57"/>
      <c r="C71" s="80"/>
      <c r="D71" s="57"/>
      <c r="E71" s="57"/>
      <c r="F71" s="57"/>
      <c r="G71" s="58"/>
      <c r="H71" s="57"/>
      <c r="I71" s="57"/>
    </row>
    <row r="72" spans="1:9">
      <c r="A72" s="5" t="s">
        <v>136</v>
      </c>
      <c r="B72" s="57"/>
      <c r="C72" s="62"/>
      <c r="D72" s="57"/>
      <c r="E72" s="57"/>
      <c r="F72" s="57"/>
      <c r="G72" s="58"/>
      <c r="H72" s="57"/>
      <c r="I72" s="57"/>
    </row>
    <row r="73" spans="1:9">
      <c r="A73" s="5"/>
      <c r="B73" s="57"/>
      <c r="C73" s="58" t="s">
        <v>122</v>
      </c>
      <c r="D73" s="58" t="s">
        <v>122</v>
      </c>
      <c r="E73" s="58" t="s">
        <v>122</v>
      </c>
      <c r="F73" s="57"/>
      <c r="G73" s="58"/>
      <c r="H73" s="57"/>
      <c r="I73" s="57"/>
    </row>
    <row r="74" spans="1:9">
      <c r="A74" s="5"/>
      <c r="B74" s="57"/>
      <c r="C74" s="79">
        <f>'Virkamies 1'!F$6</f>
        <v>0</v>
      </c>
      <c r="D74" s="79">
        <f>'Virkamies 1'!F$8</f>
        <v>0</v>
      </c>
      <c r="E74" s="76" t="str">
        <f>$D$41</f>
        <v>1.7.2024</v>
      </c>
      <c r="F74" s="57"/>
      <c r="G74" s="58"/>
      <c r="H74" s="57"/>
      <c r="I74" s="57"/>
    </row>
    <row r="75" spans="1:9">
      <c r="A75" s="80" t="s">
        <v>126</v>
      </c>
      <c r="B75" s="57"/>
      <c r="C75" s="62">
        <f>C78-C77-C76</f>
        <v>0</v>
      </c>
      <c r="D75" s="62">
        <f>D78-D77-D76</f>
        <v>0</v>
      </c>
      <c r="E75" s="11">
        <f>ROUND(D75*(VLOOKUP(MONTH('Virkamies 1'!$F$7),aika1,4))*(VLOOKUP(MONTH('Virkamies 1'!$F$7),aika1,2)),2)</f>
        <v>0</v>
      </c>
      <c r="F75" s="57"/>
      <c r="G75" s="58"/>
      <c r="H75" s="57"/>
      <c r="I75" s="57"/>
    </row>
    <row r="76" spans="1:9">
      <c r="A76" s="80" t="s">
        <v>129</v>
      </c>
      <c r="B76" s="57"/>
      <c r="C76" s="62">
        <f>'Virkamies 1'!$F$16*12*VLOOKUP($D$40,IF(YEAR($F$6)=vuosi,'poa2024'!$F$5:$I$57,IF(YEAR($F$6)=vuosi1,vastuunjako1,vastuunjako2)),3)</f>
        <v>0</v>
      </c>
      <c r="D76" s="62">
        <f>C76*(1+0.031*((IF(DAY('Virkamies 1'!$F$8)=31,DAYS360('Virkamies 1'!$F$6,'Virkamies 1'!$F$8,TRUE)-1,DAYS360('Virkamies 1'!$F$6,'Virkamies 1'!$F$8,TRUE)))/360))</f>
        <v>0</v>
      </c>
      <c r="E76" s="11">
        <f>ROUND(D76*(VLOOKUP(MONTH('Virkamies 1'!$F$7),aika1,4))*(VLOOKUP(MONTH('Virkamies 1'!$F$7),aika1,2)),2)</f>
        <v>0</v>
      </c>
      <c r="F76" s="57"/>
      <c r="G76" s="58"/>
      <c r="H76" s="57"/>
      <c r="I76" s="57"/>
    </row>
    <row r="77" spans="1:9">
      <c r="A77" s="82" t="s">
        <v>130</v>
      </c>
      <c r="B77" s="83"/>
      <c r="C77" s="84">
        <f>'Virkamies 1'!$F$16*12*VLOOKUP($D$40,IF(YEAR($F$6)=vuosi,'poa2024'!$F$5:$I$57,IF(YEAR($F$6)=vuosi1,vastuunjako1,vastuunjako2)),4)</f>
        <v>0</v>
      </c>
      <c r="D77" s="84">
        <f>C77*(1+0.031*((IF(DAY('Virkamies 1'!$F$8)=31,DAYS360('Virkamies 1'!$F$6,'Virkamies 1'!$F$8,TRUE)-1,DAYS360('Virkamies 1'!$F$6,'Virkamies 1'!$F$8,TRUE)))/360))</f>
        <v>0</v>
      </c>
      <c r="E77" s="48">
        <f>ROUND(D77*(VLOOKUP(MONTH('Virkamies 1'!$F$7),aika1,4))*(VLOOKUP(MONTH('Virkamies 1'!$F$7),aika1,2)),2)</f>
        <v>0</v>
      </c>
      <c r="F77" s="57"/>
      <c r="G77" s="58"/>
      <c r="H77" s="57"/>
      <c r="I77" s="57"/>
    </row>
    <row r="78" spans="1:9">
      <c r="A78" s="57" t="s">
        <v>131</v>
      </c>
      <c r="B78" s="57"/>
      <c r="C78" s="62">
        <f>'Virkamies 1'!$F$16*12*VLOOKUP($D$40,IF(YEAR($F$6)=vuosi,'poa2024'!$B$5:$C$57,IF(YEAR($F$6)=vuosi1,perusturva1,perusturva2)),2)</f>
        <v>0</v>
      </c>
      <c r="D78" s="62">
        <f>C78*(1+0.031*((IF(DAY('Virkamies 1'!$F$8)=31,DAYS360('Virkamies 1'!$F$6,'Virkamies 1'!$F$8,TRUE)-1,DAYS360('Virkamies 1'!$F$6,'Virkamies 1'!$F$8,TRUE)))/360))</f>
        <v>0</v>
      </c>
      <c r="E78" s="62">
        <f>SUM(E75:E77)</f>
        <v>0</v>
      </c>
      <c r="F78" s="25"/>
      <c r="G78" s="58"/>
      <c r="H78" s="86" t="s">
        <v>137</v>
      </c>
      <c r="I78" s="57" t="s">
        <v>138</v>
      </c>
    </row>
    <row r="79" spans="1:9">
      <c r="A79" s="57"/>
      <c r="B79" s="57"/>
      <c r="C79" s="62"/>
      <c r="D79" s="62"/>
      <c r="E79" s="62"/>
      <c r="F79" s="57"/>
      <c r="G79" s="58"/>
      <c r="H79" s="58"/>
      <c r="I79" s="57" t="s">
        <v>139</v>
      </c>
    </row>
    <row r="80" spans="1:9">
      <c r="A80" s="5" t="s">
        <v>140</v>
      </c>
      <c r="B80" s="57"/>
      <c r="C80" s="62">
        <f>'Virkamies 1'!$F$21*12*VLOOKUP($D$40,IF(YEAR($F$6)=vuosi,'poa2024'!$B$62:$E$114,IF(YEAR($F$6)=vuosi1,lisäturva1,lisäturva2)),2)+'Virkamies 1'!$F$22*12*VLOOKUP($D$40,IF(YEAR($F$6)=vuosi,'poa2024'!$B$62:$E$114,IF(YEAR($F$6)=vuosi1,lisäturva1,lisäturva2)),IF('Virkamies 1'!$F$23="LL",3,4))</f>
        <v>0</v>
      </c>
      <c r="D80" s="62">
        <f>C80*(1+0.031*((IF(DAY('Virkamies 1'!$F$8)=31,DAYS360('Virkamies 1'!$F$6,'Virkamies 1'!$F$8,TRUE)-1,DAYS360('Virkamies 1'!$F$6,'Virkamies 1'!$F$8,TRUE)))/360))</f>
        <v>0</v>
      </c>
      <c r="E80" s="11">
        <f>ROUND(D80*(VLOOKUP(MONTH('Virkamies 1'!$F$7),aika1,4))*(VLOOKUP(MONTH('Virkamies 1'!$F$7),aika1,2)),2)</f>
        <v>0</v>
      </c>
      <c r="F80" s="58"/>
      <c r="G80" s="86">
        <f>MAX(0,H80)</f>
        <v>0</v>
      </c>
      <c r="H80" s="62">
        <f>E80-F29-F30-F31-F32-F33-F34</f>
        <v>0</v>
      </c>
      <c r="I80" s="62">
        <f>MIN(E80,0)</f>
        <v>0</v>
      </c>
    </row>
    <row r="81" spans="1:11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</row>
    <row r="82" spans="1:11">
      <c r="A82" s="5" t="s">
        <v>141</v>
      </c>
      <c r="B82" s="57"/>
      <c r="C82" s="62">
        <f>'Virkamies 1'!$F$24*12*VLOOKUP($D$40,IF(YEAR($F$6)=vuosi,'poa2024'!$B$62:$E$114,IF(YEAR($F$6)=vuosi1,lisäturva1,lisäturva2)),2)+'Virkamies 1'!$F$25*12*VLOOKUP($D$40,IF(YEAR($F$6)=vuosi,'poa2024'!$B$62:$E$114,IF(YEAR($F$6)=vuosi1,lisäturva1,lisäturva2)),IF('Virkamies 1'!$F$26="LL",3,4))</f>
        <v>0</v>
      </c>
      <c r="D82" s="62">
        <f>C82*(1+0.031*((IF(DAY('Virkamies 1'!$F$8)=31,DAYS360('Virkamies 1'!$F$6,'Virkamies 1'!$F$8,TRUE)-1,DAYS360('Virkamies 1'!$F$6,'Virkamies 1'!$F$8,TRUE)))/360))</f>
        <v>0</v>
      </c>
      <c r="E82" s="11">
        <f>ROUND(D82*(VLOOKUP(MONTH('Virkamies 1'!$F$7),aikaYEL1,4))*(VLOOKUP(MONTH('Virkamies 1'!$F$7),aikaYEL1,2)),2)</f>
        <v>0</v>
      </c>
      <c r="F82" s="57"/>
      <c r="G82" s="86"/>
      <c r="H82" s="57"/>
      <c r="I82" s="57"/>
      <c r="J82" s="57"/>
      <c r="K82" s="57"/>
    </row>
    <row r="83" spans="1:11">
      <c r="A83" s="57"/>
      <c r="B83" s="57"/>
      <c r="C83" s="62"/>
      <c r="D83" s="62"/>
      <c r="E83" s="57"/>
      <c r="F83" s="25"/>
      <c r="G83" s="62"/>
      <c r="H83" s="57"/>
      <c r="I83" s="57"/>
      <c r="J83" s="57"/>
      <c r="K83" s="57"/>
    </row>
    <row r="84" spans="1:11">
      <c r="A84" s="5" t="s">
        <v>142</v>
      </c>
      <c r="B84" s="57"/>
      <c r="C84" s="62">
        <f>'Virkamies 1'!$F$17*12*VLOOKUP($D$40,IF(YEAR($F$6)=vuosi,'poa2024'!$B$5:$C$57,IF(YEAR($F$6)=vuosi1,perusturva1,perusturva2)),2)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1'!$F$7),aika1,4))*(VLOOKUP(MONTH('Virkamies 1'!$F$7),aika1,2)),2)</f>
        <v>0</v>
      </c>
      <c r="F84" s="25"/>
      <c r="G84" s="62"/>
      <c r="H84" s="57"/>
      <c r="I84" s="62"/>
      <c r="J84" s="57"/>
      <c r="K84" s="57"/>
    </row>
    <row r="85" spans="1:11">
      <c r="A85" s="57"/>
      <c r="B85" s="57"/>
      <c r="C85" s="62"/>
      <c r="D85" s="62"/>
      <c r="E85" s="19"/>
      <c r="F85" s="25"/>
      <c r="G85" s="62"/>
      <c r="H85" s="57"/>
      <c r="I85" s="62"/>
      <c r="J85" s="57"/>
      <c r="K85" s="57"/>
    </row>
    <row r="86" spans="1:11">
      <c r="A86" s="5" t="s">
        <v>131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</row>
    <row r="87" spans="1:11">
      <c r="A87" s="57"/>
      <c r="B87" s="57"/>
      <c r="C87" s="57"/>
      <c r="D87" s="57"/>
      <c r="E87" s="62"/>
      <c r="F87" s="57"/>
      <c r="G87" s="57"/>
      <c r="H87" s="57"/>
      <c r="I87" s="62"/>
      <c r="J87" s="57"/>
      <c r="K87" s="57"/>
    </row>
    <row r="89" spans="1:1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</row>
    <row r="90" spans="1:1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</row>
    <row r="91" spans="1:1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</row>
    <row r="95" spans="1:11">
      <c r="A95" s="57"/>
      <c r="B95" s="80"/>
      <c r="C95" s="57"/>
      <c r="D95" s="57"/>
      <c r="E95" s="27"/>
      <c r="F95" s="26"/>
      <c r="G95" s="57"/>
      <c r="H95" s="57"/>
      <c r="I95" s="57"/>
      <c r="J95" s="57"/>
      <c r="K95" s="57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55" orientation="portrait" horizontalDpi="8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ul7"/>
  <dimension ref="A1:AH88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.5703125" style="6" customWidth="1"/>
    <col min="9" max="9" width="12.42578125" style="6" customWidth="1"/>
    <col min="10" max="27" width="9.140625" style="6"/>
    <col min="28" max="28" width="11.5703125" style="6" customWidth="1"/>
    <col min="29" max="29" width="10.5703125" style="6" bestFit="1" customWidth="1"/>
    <col min="30" max="30" width="13.28515625" style="6" customWidth="1"/>
    <col min="31" max="16384" width="9.140625" style="6"/>
  </cols>
  <sheetData>
    <row r="1" spans="1:34" ht="18">
      <c r="A1" s="1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2"/>
      <c r="AB1" s="57" t="s">
        <v>143</v>
      </c>
      <c r="AC1" s="3" t="s">
        <v>77</v>
      </c>
      <c r="AD1" t="s">
        <v>78</v>
      </c>
      <c r="AE1" s="57"/>
      <c r="AF1" s="57"/>
      <c r="AG1" s="57"/>
      <c r="AH1" s="9" t="str">
        <f>LEFT('Virkamies 2'!F5,2)&amp;"."&amp;MID('Virkamies 2'!F5,3,2)&amp;".19"&amp;MID('Virkamies 2'!F5,5,2)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2"/>
      <c r="AB2" s="2"/>
      <c r="AC2" s="2"/>
      <c r="AD2"/>
      <c r="AE2" s="57"/>
      <c r="AF2" s="57"/>
      <c r="AG2" s="57"/>
      <c r="AH2" s="57"/>
    </row>
    <row r="3" spans="1:34" ht="14.25">
      <c r="A3" s="5" t="s">
        <v>80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2">
        <v>1</v>
      </c>
      <c r="AB3" s="64">
        <f>(1+'KJ-vuosi'!B4)^((31-DAY($F$7))/360)</f>
        <v>1.003466091602899</v>
      </c>
      <c r="AC3" s="64">
        <f>+(1+'KJ-vuosi'!B4)^(1/12)</f>
        <v>1.0033540948994528</v>
      </c>
      <c r="AD3" s="64">
        <f>AC4*AD4</f>
        <v>1.0168833519905274</v>
      </c>
      <c r="AE3" s="57"/>
      <c r="AF3" s="57"/>
      <c r="AG3" s="57"/>
      <c r="AH3" s="57"/>
    </row>
    <row r="4" spans="1:34" ht="14.25">
      <c r="A4" s="5"/>
      <c r="B4" s="57" t="s">
        <v>82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2">
        <v>2</v>
      </c>
      <c r="AB4" s="64">
        <f>(1+'KJ-vuosi'!B5)^((31-DAY($F$7))/360)</f>
        <v>1.003466091602899</v>
      </c>
      <c r="AC4" s="64">
        <f>+(1+'KJ-vuosi'!B5)^(1/12)</f>
        <v>1.0033540948994528</v>
      </c>
      <c r="AD4" s="64">
        <f t="shared" ref="AD4:AD7" si="0">AC5*AD5</f>
        <v>1.0134840303735744</v>
      </c>
      <c r="AE4" s="57"/>
      <c r="AF4" s="57"/>
      <c r="AG4" s="57"/>
      <c r="AH4" s="57"/>
    </row>
    <row r="5" spans="1:34" ht="14.25">
      <c r="A5" s="57"/>
      <c r="B5" s="57" t="s">
        <v>83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2">
        <v>3</v>
      </c>
      <c r="AB5" s="64">
        <f>(1+'KJ-vuosi'!B6)^((31-DAY($F$7))/360)</f>
        <v>1.003466091602899</v>
      </c>
      <c r="AC5" s="64">
        <f>+(1+'KJ-vuosi'!B6)^(1/12)</f>
        <v>1.0033540948994528</v>
      </c>
      <c r="AD5" s="64">
        <f t="shared" si="0"/>
        <v>1.0100960722895507</v>
      </c>
      <c r="AE5" s="57"/>
      <c r="AF5" s="57"/>
      <c r="AG5" s="57"/>
      <c r="AH5" s="57"/>
    </row>
    <row r="6" spans="1:34" ht="14.25">
      <c r="A6" s="57"/>
      <c r="B6" s="57" t="s">
        <v>84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2">
        <v>4</v>
      </c>
      <c r="AB6" s="64">
        <f>(1+'KJ-vuosi'!B7)^((31-DAY($F$7))/360)</f>
        <v>1.003466091602899</v>
      </c>
      <c r="AC6" s="64">
        <f>+(1+'KJ-vuosi'!B7)^(1/12)</f>
        <v>1.0033540948994528</v>
      </c>
      <c r="AD6" s="64">
        <f t="shared" si="0"/>
        <v>1.0067194397515002</v>
      </c>
      <c r="AE6" s="57"/>
      <c r="AF6" s="57"/>
      <c r="AG6" s="57"/>
      <c r="AH6" s="57"/>
    </row>
    <row r="7" spans="1:34" ht="14.25">
      <c r="A7" s="57"/>
      <c r="B7" s="57" t="s">
        <v>85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2">
        <v>5</v>
      </c>
      <c r="AB7" s="64">
        <f>(1+'KJ-vuosi'!B8)^((31-DAY($F$7))/360)</f>
        <v>1.003466091602899</v>
      </c>
      <c r="AC7" s="64">
        <f>+(1+'KJ-vuosi'!B8)^(1/12)</f>
        <v>1.0033540948994528</v>
      </c>
      <c r="AD7" s="64">
        <f t="shared" si="0"/>
        <v>1.0033540948994528</v>
      </c>
      <c r="AE7" s="57"/>
      <c r="AF7" s="57"/>
      <c r="AG7" s="57"/>
      <c r="AH7" s="57"/>
    </row>
    <row r="8" spans="1:34" ht="14.25">
      <c r="A8" s="57"/>
      <c r="B8" s="57" t="s">
        <v>86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2">
        <v>6</v>
      </c>
      <c r="AB8" s="64">
        <f>(1+'KJ-vuosi'!B9)^((31-DAY($F$7))/360)</f>
        <v>1.003466091602899</v>
      </c>
      <c r="AC8" s="64">
        <f>+(1+'KJ-vuosi'!B9)^(1/12)</f>
        <v>1.0033540948994528</v>
      </c>
      <c r="AD8" s="64">
        <v>1</v>
      </c>
      <c r="AE8" s="57"/>
      <c r="AF8" s="57"/>
      <c r="AG8" s="57"/>
      <c r="AH8" s="57"/>
    </row>
    <row r="9" spans="1:34" ht="14.25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2">
        <v>7</v>
      </c>
      <c r="AB9" s="64">
        <f>1/((1+'KJ-vuosi'!B10)^((DAY('Virkamies 2'!$F$7))/360))</f>
        <v>1</v>
      </c>
      <c r="AC9" s="64">
        <f>+(1+'KJ-vuosi'!B10)^(-1/12)</f>
        <v>0.99693686989174457</v>
      </c>
      <c r="AD9" s="64">
        <v>1</v>
      </c>
      <c r="AE9" s="57"/>
      <c r="AF9" s="57"/>
      <c r="AG9" s="57"/>
      <c r="AH9" s="57"/>
    </row>
    <row r="10" spans="1:34" ht="14.25">
      <c r="A10" s="5" t="s">
        <v>87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2">
        <v>8</v>
      </c>
      <c r="AB10" s="64">
        <f>1/((1+'KJ-vuosi'!B11)^((DAY('Virkamies 2'!$F$7))/360))</f>
        <v>1</v>
      </c>
      <c r="AC10" s="64">
        <f>+(1+'KJ-vuosi'!B11)^(-1/12)</f>
        <v>0.99693686989174457</v>
      </c>
      <c r="AD10" s="64">
        <f>+AC9</f>
        <v>0.99693686989174457</v>
      </c>
      <c r="AE10" s="57"/>
      <c r="AF10" s="57"/>
      <c r="AG10" s="57"/>
      <c r="AH10" s="57"/>
    </row>
    <row r="11" spans="1:34" ht="14.25">
      <c r="A11" s="5" t="s">
        <v>88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2">
        <v>9</v>
      </c>
      <c r="AB11" s="64">
        <f>1/((1+'KJ-vuosi'!B12)^((DAY('Virkamies 2'!$F$7))/360))</f>
        <v>1</v>
      </c>
      <c r="AC11" s="64">
        <f>+(1+'KJ-vuosi'!B12)^(-1/12)</f>
        <v>0.99693686989174457</v>
      </c>
      <c r="AD11" s="64">
        <f>+AD10*AC10</f>
        <v>0.99388312254954925</v>
      </c>
      <c r="AE11" s="57"/>
      <c r="AF11" s="57"/>
      <c r="AG11" s="57"/>
      <c r="AH11" s="57"/>
    </row>
    <row r="12" spans="1:34" ht="14.25">
      <c r="A12" s="57"/>
      <c r="B12" s="57" t="s">
        <v>89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2">
        <v>10</v>
      </c>
      <c r="AB12" s="64">
        <f>1/((1+'KJ-vuosi'!B13)^((DAY('Virkamies 2'!$F$7))/360))</f>
        <v>1</v>
      </c>
      <c r="AC12" s="64">
        <f>+(1+'KJ-vuosi'!B13)^(-1/12)</f>
        <v>0.99693686989174457</v>
      </c>
      <c r="AD12" s="64">
        <f>+AD11*AC11</f>
        <v>0.99083872923278082</v>
      </c>
      <c r="AE12" s="57"/>
      <c r="AF12" s="57"/>
      <c r="AG12" s="57"/>
      <c r="AH12" s="57"/>
    </row>
    <row r="13" spans="1:34" ht="14.25">
      <c r="A13" s="57"/>
      <c r="B13" s="57" t="s">
        <v>90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2">
        <v>11</v>
      </c>
      <c r="AB13" s="64">
        <f>1/((1+'KJ-vuosi'!B14)^((DAY('Virkamies 2'!$F$7))/360))</f>
        <v>1</v>
      </c>
      <c r="AC13" s="64">
        <f>+(1+'KJ-vuosi'!B14)^(-1/12)</f>
        <v>0.99693686989174457</v>
      </c>
      <c r="AD13" s="64">
        <f>+AD12*AC12</f>
        <v>0.98780366128884234</v>
      </c>
      <c r="AE13" s="57"/>
      <c r="AF13" s="57"/>
      <c r="AG13" s="57"/>
      <c r="AH13" s="57"/>
    </row>
    <row r="14" spans="1:34" ht="14.25">
      <c r="A14" s="57"/>
      <c r="B14" s="57" t="s">
        <v>144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2">
        <v>12</v>
      </c>
      <c r="AB14" s="64">
        <f>1/((1+'KJ-vuosi'!B15)^((DAY('Virkamies 2'!$F$7))/360))</f>
        <v>1</v>
      </c>
      <c r="AC14" s="64">
        <f>+(1+'KJ-vuosi'!B15)^(-1/12)</f>
        <v>0.99693686989174457</v>
      </c>
      <c r="AD14" s="64">
        <f>+AD13*AC13</f>
        <v>0.98477789015290351</v>
      </c>
      <c r="AE14" s="57"/>
      <c r="AF14" s="57"/>
      <c r="AG14" s="57"/>
      <c r="AH14" s="57"/>
    </row>
    <row r="15" spans="1:34">
      <c r="A15" s="57"/>
      <c r="B15" s="57" t="s">
        <v>92</v>
      </c>
      <c r="C15" s="57"/>
      <c r="D15" s="57"/>
      <c r="E15" s="57"/>
      <c r="F15" s="74"/>
      <c r="G15" s="57"/>
      <c r="H15" s="62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64"/>
      <c r="AC15" s="64"/>
      <c r="AD15" s="64"/>
      <c r="AE15" s="57"/>
      <c r="AF15" s="57"/>
      <c r="AG15" s="57"/>
      <c r="AH15" s="57"/>
    </row>
    <row r="16" spans="1:34">
      <c r="A16" s="57"/>
      <c r="B16" s="57" t="s">
        <v>93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94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95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88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t="s">
        <v>76</v>
      </c>
      <c r="AC20" t="s">
        <v>77</v>
      </c>
      <c r="AD20" t="s">
        <v>78</v>
      </c>
      <c r="AE20" s="57"/>
      <c r="AF20" s="57"/>
      <c r="AG20" s="57"/>
      <c r="AH20" s="8" t="str">
        <f>LEFT(F5,2)&amp;"."&amp;MID(F5,3,2)&amp;".19"&amp;MID(F5,5,2)</f>
        <v>..19</v>
      </c>
    </row>
    <row r="21" spans="1:34">
      <c r="A21" s="57"/>
      <c r="B21" s="57" t="s">
        <v>96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t="s">
        <v>79</v>
      </c>
      <c r="AC21"/>
      <c r="AD21"/>
      <c r="AE21" s="57"/>
      <c r="AF21" s="57"/>
      <c r="AG21" s="57"/>
      <c r="AH21" s="57"/>
    </row>
    <row r="22" spans="1:34">
      <c r="A22" s="57"/>
      <c r="B22" s="57" t="s">
        <v>97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98</v>
      </c>
      <c r="AA22">
        <v>1</v>
      </c>
      <c r="AB22" s="66">
        <f>(1+'KJ-vuosi'!$B$16)^((31-DAY($F$7))/360)</f>
        <v>1.003466091602899</v>
      </c>
      <c r="AC22" s="64">
        <f>+(1+'KJ-vuosi'!B16)^(1/12)</f>
        <v>1.0033540948994528</v>
      </c>
      <c r="AD22" s="64">
        <f>AC23*AD23</f>
        <v>1.0168833519905274</v>
      </c>
      <c r="AE22" s="57"/>
      <c r="AF22" s="57"/>
      <c r="AG22" s="57"/>
      <c r="AH22" s="57"/>
    </row>
    <row r="23" spans="1:34">
      <c r="A23" s="57"/>
      <c r="B23" s="57" t="s">
        <v>99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>
        <v>2</v>
      </c>
      <c r="AB23" s="66">
        <f>(1+'KJ-vuosi'!$B$16)^((31-DAY($F$7))/360)</f>
        <v>1.003466091602899</v>
      </c>
      <c r="AC23" s="64">
        <f>+(1+'KJ-vuosi'!B16)^(1/12)</f>
        <v>1.0033540948994528</v>
      </c>
      <c r="AD23" s="64">
        <f t="shared" ref="AD23:AD26" si="1">AC24*AD24</f>
        <v>1.0134840303735744</v>
      </c>
      <c r="AE23" s="57"/>
      <c r="AF23" s="57"/>
      <c r="AG23" s="57"/>
      <c r="AH23" s="57"/>
    </row>
    <row r="24" spans="1:34">
      <c r="A24" s="57"/>
      <c r="B24" s="57" t="s">
        <v>100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>
        <v>3</v>
      </c>
      <c r="AB24" s="66">
        <f>(1+'KJ-vuosi'!$B$16)^((31-DAY($F$7))/360)</f>
        <v>1.003466091602899</v>
      </c>
      <c r="AC24" s="64">
        <f>+(1+'KJ-vuosi'!B16)^(1/12)</f>
        <v>1.0033540948994528</v>
      </c>
      <c r="AD24" s="64">
        <f t="shared" si="1"/>
        <v>1.0100960722895507</v>
      </c>
      <c r="AE24" s="57"/>
      <c r="AF24" s="57"/>
      <c r="AG24" s="57"/>
      <c r="AH24" s="57"/>
    </row>
    <row r="25" spans="1:34">
      <c r="A25" s="57"/>
      <c r="B25" s="57" t="s">
        <v>101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>
        <v>4</v>
      </c>
      <c r="AB25" s="66">
        <f>(1+'KJ-vuosi'!$B$16)^((31-DAY($F$7))/360)</f>
        <v>1.003466091602899</v>
      </c>
      <c r="AC25" s="64">
        <f>+(1+'KJ-vuosi'!B16)^(1/12)</f>
        <v>1.0033540948994528</v>
      </c>
      <c r="AD25" s="64">
        <f t="shared" si="1"/>
        <v>1.0067194397515002</v>
      </c>
      <c r="AE25" s="57"/>
      <c r="AF25" s="57"/>
      <c r="AG25" s="57"/>
      <c r="AH25" s="57"/>
    </row>
    <row r="26" spans="1:34">
      <c r="A26" s="57"/>
      <c r="B26" s="57" t="s">
        <v>102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>
        <v>5</v>
      </c>
      <c r="AB26" s="66">
        <f>(1+'KJ-vuosi'!$B$16)^((31-DAY($F$7))/360)</f>
        <v>1.003466091602899</v>
      </c>
      <c r="AC26" s="64">
        <f>+(1+'KJ-vuosi'!B16)^(1/12)</f>
        <v>1.0033540948994528</v>
      </c>
      <c r="AD26" s="64">
        <f t="shared" si="1"/>
        <v>1.0033540948994528</v>
      </c>
      <c r="AE26" s="57"/>
      <c r="AF26" s="57"/>
      <c r="AG26" s="57"/>
      <c r="AH26" s="57"/>
    </row>
    <row r="27" spans="1:34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>
        <v>6</v>
      </c>
      <c r="AB27" s="66">
        <f>(1+'KJ-vuosi'!$B$16)^((31-DAY($F$7))/360)</f>
        <v>1.003466091602899</v>
      </c>
      <c r="AC27" s="64">
        <f>+(1+'KJ-vuosi'!B16)^(1/12)</f>
        <v>1.0033540948994528</v>
      </c>
      <c r="AD27" s="64">
        <v>1</v>
      </c>
      <c r="AE27" s="57"/>
      <c r="AF27" s="57"/>
      <c r="AG27" s="57"/>
      <c r="AH27" s="57"/>
    </row>
    <row r="28" spans="1:34">
      <c r="A28" s="5" t="s">
        <v>103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>
        <v>7</v>
      </c>
      <c r="AB28" s="66">
        <f>1/((1+'KJ-vuosi'!$B$16)^((DAY('Virkamies 2'!$F$7))/360))</f>
        <v>1</v>
      </c>
      <c r="AC28" s="64">
        <f>+(1+'KJ-vuosi'!B16)^(-1/12)</f>
        <v>0.99665711744587149</v>
      </c>
      <c r="AD28" s="64">
        <v>1</v>
      </c>
      <c r="AE28" s="57"/>
      <c r="AF28" s="57"/>
      <c r="AG28" s="57"/>
      <c r="AH28" s="57"/>
    </row>
    <row r="29" spans="1:34">
      <c r="A29" s="57"/>
      <c r="B29" s="57" t="s">
        <v>104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>
        <v>8</v>
      </c>
      <c r="AB29" s="66">
        <f>1/((1+'KJ-vuosi'!$B$16)^((DAY('Virkamies 2'!$F$7))/360))</f>
        <v>1</v>
      </c>
      <c r="AC29" s="64">
        <f>+(1+'KJ-vuosi'!B16)^(-1/12)</f>
        <v>0.99665711744587149</v>
      </c>
      <c r="AD29" s="64">
        <f>+AC28</f>
        <v>0.99665711744587149</v>
      </c>
      <c r="AE29" s="57"/>
      <c r="AF29" s="57"/>
      <c r="AG29" s="57"/>
      <c r="AH29" s="57"/>
    </row>
    <row r="30" spans="1:34">
      <c r="A30" s="57"/>
      <c r="B30" s="57" t="s">
        <v>105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>
        <v>9</v>
      </c>
      <c r="AB30" s="66">
        <f>1/((1+'KJ-vuosi'!$B$16)^((DAY('Virkamies 2'!$F$7))/360))</f>
        <v>1</v>
      </c>
      <c r="AC30" s="64">
        <f>+(1+'KJ-vuosi'!B16)^(-1/12)</f>
        <v>0.99665711744587149</v>
      </c>
      <c r="AD30" s="64">
        <f>+AD29*AC29</f>
        <v>0.99332540975551364</v>
      </c>
      <c r="AE30" s="57"/>
      <c r="AF30" s="57"/>
      <c r="AG30" s="57"/>
      <c r="AH30" s="57"/>
    </row>
    <row r="31" spans="1:34">
      <c r="A31" s="57"/>
      <c r="B31" s="57" t="s">
        <v>106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>
        <v>10</v>
      </c>
      <c r="AB31" s="66">
        <f>1/((1+'KJ-vuosi'!$B$16)^((DAY('Virkamies 2'!$F$7))/360))</f>
        <v>1</v>
      </c>
      <c r="AC31" s="64">
        <f>+(1+'KJ-vuosi'!B16)^(-1/12)</f>
        <v>0.99665711744587149</v>
      </c>
      <c r="AD31" s="64">
        <f>+AD30*AC30</f>
        <v>0.99000483957266938</v>
      </c>
      <c r="AE31" s="57"/>
      <c r="AF31" s="57"/>
      <c r="AG31" s="57"/>
      <c r="AH31" s="57"/>
    </row>
    <row r="32" spans="1:34">
      <c r="A32" s="57"/>
      <c r="B32" s="57" t="s">
        <v>107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>
        <v>11</v>
      </c>
      <c r="AB32" s="66">
        <f>1/((1+'KJ-vuosi'!$B$16)^((DAY('Virkamies 2'!$F$7))/360))</f>
        <v>1</v>
      </c>
      <c r="AC32" s="64">
        <f>+(1+'KJ-vuosi'!B16)^(-1/12)</f>
        <v>0.99665711744587149</v>
      </c>
      <c r="AD32" s="64">
        <f>+AD31*AC31</f>
        <v>0.98669536966595905</v>
      </c>
      <c r="AE32" s="57"/>
      <c r="AF32" s="57"/>
      <c r="AG32" s="57"/>
      <c r="AH32" s="57"/>
    </row>
    <row r="33" spans="1:30">
      <c r="A33" s="57"/>
      <c r="B33" s="57" t="s">
        <v>108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>
        <v>12</v>
      </c>
      <c r="AB33" s="66">
        <f>1/((1+'KJ-vuosi'!$B$16)^((DAY('Virkamies 2'!$F$7))/360))</f>
        <v>1</v>
      </c>
      <c r="AC33" s="64">
        <f>+(1+'KJ-vuosi'!B16)^(-1/12)</f>
        <v>0.99665711744587149</v>
      </c>
      <c r="AD33" s="64">
        <f>+AD32*AC32</f>
        <v>0.98339696292846335</v>
      </c>
    </row>
    <row r="34" spans="1:30">
      <c r="A34" s="57"/>
      <c r="B34" s="57" t="s">
        <v>109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/>
      <c r="AB34"/>
      <c r="AC34"/>
      <c r="AD34" s="57"/>
    </row>
    <row r="36" spans="1:30">
      <c r="A36" s="57" t="s">
        <v>110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8" spans="1:30" ht="18">
      <c r="A38" s="1" t="s">
        <v>111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 spans="1:30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1:30">
      <c r="A40" s="57" t="s">
        <v>112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>
      <c r="A41" s="57" t="s">
        <v>151</v>
      </c>
      <c r="B41" s="57"/>
      <c r="C41" s="57"/>
      <c r="D41" s="76" t="str">
        <f>+"1.7."&amp;TEXT('KJ-vuosi'!$B$3,0)</f>
        <v>1.7.2024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>
      <c r="A43" s="5" t="s">
        <v>113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</row>
    <row r="44" spans="1:30">
      <c r="A44" s="57"/>
      <c r="B44" s="57"/>
      <c r="C44" s="58" t="s">
        <v>114</v>
      </c>
      <c r="D44" s="58" t="s">
        <v>115</v>
      </c>
      <c r="E44" s="58" t="s">
        <v>116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0">
      <c r="A45" s="57"/>
      <c r="B45" s="57"/>
      <c r="C45" s="58" t="s">
        <v>117</v>
      </c>
      <c r="D45" s="77" t="s">
        <v>118</v>
      </c>
      <c r="E45" s="58" t="s">
        <v>119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 spans="1:30">
      <c r="A46" s="57"/>
      <c r="B46" s="57"/>
      <c r="C46" s="78"/>
      <c r="D46" s="77" t="s">
        <v>120</v>
      </c>
      <c r="E46" s="58" t="str">
        <f>+D41&amp;")"</f>
        <v>1.7.2024)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</row>
    <row r="47" spans="1:30">
      <c r="A47" s="57"/>
      <c r="B47" s="57"/>
      <c r="C47" s="78"/>
      <c r="D47" s="57"/>
      <c r="E47" s="77"/>
      <c r="F47" s="57"/>
      <c r="G47" s="57"/>
      <c r="H47" s="57"/>
      <c r="I47" s="62"/>
      <c r="J47" s="62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8" spans="1:30">
      <c r="A48" s="5" t="s">
        <v>121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</row>
    <row r="49" spans="1:9">
      <c r="A49" s="57"/>
      <c r="B49" s="57"/>
      <c r="C49" s="58" t="s">
        <v>122</v>
      </c>
      <c r="D49" s="58" t="s">
        <v>122</v>
      </c>
      <c r="E49" s="58" t="s">
        <v>122</v>
      </c>
      <c r="F49" s="58"/>
      <c r="G49" s="58" t="s">
        <v>123</v>
      </c>
      <c r="H49" s="57"/>
      <c r="I49" s="62"/>
    </row>
    <row r="50" spans="1:9">
      <c r="A50" s="5"/>
      <c r="B50" s="57"/>
      <c r="C50" s="79">
        <f>'Virkamies 2'!F$6</f>
        <v>0</v>
      </c>
      <c r="D50" s="79">
        <f>'Virkamies 2'!F$8</f>
        <v>0</v>
      </c>
      <c r="E50" s="76" t="str">
        <f>$D$41</f>
        <v>1.7.2024</v>
      </c>
      <c r="F50" s="79"/>
      <c r="G50" s="58" t="s">
        <v>124</v>
      </c>
      <c r="H50" s="57"/>
      <c r="I50" s="57" t="s">
        <v>125</v>
      </c>
    </row>
    <row r="51" spans="1:9">
      <c r="A51" s="80" t="s">
        <v>126</v>
      </c>
      <c r="B51" s="57"/>
      <c r="C51" s="62">
        <f>C54-C53-C52</f>
        <v>0</v>
      </c>
      <c r="D51" s="62">
        <f>D54-D53-D52</f>
        <v>0</v>
      </c>
      <c r="E51" s="11">
        <f>ROUND(D51*(VLOOKUP(MONTH('Virkamies 2'!$F$7),aika2,4))*(VLOOKUP(MONTH('Virkamies 2'!$F$7),aika2,2)),2)</f>
        <v>0</v>
      </c>
      <c r="F51" s="57"/>
      <c r="G51" s="58" t="s">
        <v>127</v>
      </c>
      <c r="H51" s="57"/>
      <c r="I51" s="57" t="s">
        <v>128</v>
      </c>
    </row>
    <row r="52" spans="1:9">
      <c r="A52" s="80" t="s">
        <v>129</v>
      </c>
      <c r="B52" s="57"/>
      <c r="C52" s="62">
        <f>'Virkamies 2'!$F$12*12*VLOOKUP($D$40,IF(YEAR($F$6)=vuosi,'poa2024'!$F$5:$I$57,IF(YEAR($F$6)=vuosi1,vastuunjako1,vastuunjako2)),3)</f>
        <v>0</v>
      </c>
      <c r="D52" s="62">
        <f>C52*(1+0.031*((IF(DAY('Virkamies 2'!$F$8)=31,DAYS360('Virkamies 2'!$F$6,'Virkamies 2'!$F$8,TRUE)-1,DAYS360('Virkamies 2'!$F$6,'Virkamies 2'!$F$8,TRUE)))/360))</f>
        <v>0</v>
      </c>
      <c r="E52" s="81">
        <f>ROUND(D52*(VLOOKUP(MONTH('Virkamies 2'!$F$7),aika2,4))*(VLOOKUP(MONTH('Virkamies 2'!$F$7),aika2,2)),2)</f>
        <v>0</v>
      </c>
      <c r="F52" s="57"/>
      <c r="G52" s="47">
        <f>E52</f>
        <v>0</v>
      </c>
      <c r="H52" s="57"/>
      <c r="I52" s="57"/>
    </row>
    <row r="53" spans="1:9">
      <c r="A53" s="82" t="s">
        <v>130</v>
      </c>
      <c r="B53" s="83"/>
      <c r="C53" s="84">
        <f>'Virkamies 2'!$F$12*12*VLOOKUP($D$40,IF(YEAR($F$6)=vuosi,'poa2024'!$F$5:$I$57,IF(YEAR($F$6)=vuosi1,vastuunjako1,vastuunjako2)),4)</f>
        <v>0</v>
      </c>
      <c r="D53" s="84">
        <f>C53*(1+0.031*((IF(DAY('Virkamies 2'!$F$8)=31,DAYS360('Virkamies 2'!$F$6,'Virkamies 2'!$F$8,TRUE)-1,DAYS360('Virkamies 2'!$F$6,'Virkamies 2'!$F$8,TRUE)))/360))</f>
        <v>0</v>
      </c>
      <c r="E53" s="85">
        <f>ROUND(D53*(VLOOKUP(MONTH('Virkamies 2'!$F$7),aika2,4))*(VLOOKUP(MONTH('Virkamies 2'!$F$7),aika2,2)),2)</f>
        <v>0</v>
      </c>
      <c r="F53" s="57"/>
      <c r="G53" s="84">
        <f>E53</f>
        <v>0</v>
      </c>
      <c r="H53" s="57"/>
      <c r="I53" s="83"/>
    </row>
    <row r="54" spans="1:9">
      <c r="A54" s="57" t="s">
        <v>131</v>
      </c>
      <c r="B54" s="57"/>
      <c r="C54" s="62">
        <f>'Virkamies 2'!$F$12*12*VLOOKUP($D$40,IF(YEAR($F$6)=vuosi,'poa2024'!$B$5:$C$57,IF(YEAR($F$6)=vuosi1,perusturva1,perusturva2)),2)</f>
        <v>0</v>
      </c>
      <c r="D54" s="62">
        <f>C54*(1+0.031*((IF(DAY('Virkamies 2'!$F$8)=31,DAYS360('Virkamies 2'!$F$6,'Virkamies 2'!$F$8,TRUE)-1,DAYS360('Virkamies 2'!$F$6,'Virkamies 2'!$F$8,TRUE)))/360))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2'!$F$14*12*VLOOKUP($D$40,IF(YEAR($F$6)=vuosi,'poa2024'!B5:C57,IF(YEAR($F$6)=vuosi1,perusturva1,perusturva2)),2))*(1+0.031*((IF(DAY('Virkamies 2'!$F$8)=31,DAYS360('Virkamies 2'!$F$6,'Virkamies 2'!$F$8,TRUE)-1,DAYS360('Virkamies 2'!$F$6,'Virkamies 2'!$F$8,TRUE)))/360))*(VLOOKUP(MONTH('Virkamies 2'!$F$7),aika1,4))*(VLOOKUP(MONTH('Virkamies 2'!$F$7),aika1,2))),2)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132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122</v>
      </c>
      <c r="D57" s="58" t="s">
        <v>122</v>
      </c>
      <c r="E57" s="58" t="s">
        <v>122</v>
      </c>
      <c r="F57" s="57"/>
      <c r="G57" s="57"/>
      <c r="H57" s="62"/>
      <c r="I57" s="57"/>
    </row>
    <row r="58" spans="1:9">
      <c r="A58" s="5"/>
      <c r="B58" s="57"/>
      <c r="C58" s="79">
        <f>'Virkamies 2'!F$6</f>
        <v>0</v>
      </c>
      <c r="D58" s="79">
        <f>'Virkamies 2'!F$8</f>
        <v>0</v>
      </c>
      <c r="E58" s="76" t="str">
        <f>$D$41</f>
        <v>1.7.2024</v>
      </c>
      <c r="F58" s="57"/>
      <c r="G58" s="57"/>
      <c r="H58" s="57"/>
      <c r="I58" s="57"/>
    </row>
    <row r="59" spans="1:9">
      <c r="A59" s="80" t="s">
        <v>126</v>
      </c>
      <c r="B59" s="57"/>
      <c r="C59" s="62">
        <f>C62-C61-C60</f>
        <v>0</v>
      </c>
      <c r="D59" s="62">
        <f>D62-D61-D60</f>
        <v>0</v>
      </c>
      <c r="E59" s="11">
        <f>ROUND(D59*(VLOOKUP(MONTH('Virkamies 2'!$F$7),aika2,4))*(VLOOKUP(MONTH('Virkamies 2'!$F$7),aika2,2)),2)</f>
        <v>0</v>
      </c>
      <c r="F59" s="57"/>
      <c r="G59" s="57"/>
      <c r="H59" s="57"/>
      <c r="I59" s="57"/>
    </row>
    <row r="60" spans="1:9">
      <c r="A60" s="80" t="s">
        <v>129</v>
      </c>
      <c r="B60" s="57"/>
      <c r="C60" s="62">
        <f>'Virkamies 2'!$F$13*12*VLOOKUP($D$40,IF(YEAR($F$6)=vuosi,'poa2024'!$F$5:$I$57,IF(YEAR($F$6)=vuosi1,vastuunjako1,vastuunjako2)),3)</f>
        <v>0</v>
      </c>
      <c r="D60" s="62">
        <f>C60*(1+0.031*((IF(DAY('Virkamies 2'!$F$8)=31,DAYS360('Virkamies 2'!$F$6,'Virkamies 2'!$F$8,TRUE)-1,DAYS360('Virkamies 2'!$F$6,'Virkamies 2'!$F$8,TRUE)))/360))</f>
        <v>0</v>
      </c>
      <c r="E60" s="81">
        <f>ROUND(D60*(VLOOKUP(MONTH('Virkamies 2'!$F$7),aika2,4))*(VLOOKUP(MONTH('Virkamies 2'!$F$7),aika2,2)),2)</f>
        <v>0</v>
      </c>
      <c r="F60" s="57"/>
      <c r="G60" s="57"/>
      <c r="H60" s="57"/>
      <c r="I60" s="57"/>
    </row>
    <row r="61" spans="1:9">
      <c r="A61" s="82" t="s">
        <v>130</v>
      </c>
      <c r="B61" s="83"/>
      <c r="C61" s="84">
        <f>'Virkamies 2'!$F$13*12*VLOOKUP($D$40,IF(YEAR($F$6)=vuosi,'poa2024'!$F$5:$I$57,IF(YEAR($F$6)=vuosi1,vastuunjako1,vastuunjako2)),4)</f>
        <v>0</v>
      </c>
      <c r="D61" s="84">
        <f>C61*(1+0.031*((IF(DAY('Virkamies 2'!$F$8)=31,DAYS360('Virkamies 2'!$F$6,'Virkamies 2'!$F$8,TRUE)-1,DAYS360('Virkamies 2'!$F$6,'Virkamies 2'!$F$8,TRUE)))/360))</f>
        <v>0</v>
      </c>
      <c r="E61" s="85">
        <f>ROUND(D61*(VLOOKUP(MONTH('Virkamies 2'!$F$7),aika2,4))*(VLOOKUP(MONTH('Virkamies 2'!$F$7),aika2,2)),2)</f>
        <v>0</v>
      </c>
      <c r="F61" s="57"/>
      <c r="G61" s="57"/>
      <c r="H61" s="57"/>
      <c r="I61" s="57"/>
    </row>
    <row r="62" spans="1:9">
      <c r="A62" s="57" t="s">
        <v>131</v>
      </c>
      <c r="B62" s="57"/>
      <c r="C62" s="62">
        <f>'Virkamies 2'!$F$13*12*VLOOKUP($D$40,IF(YEAR($F$6)=vuosi,'poa2024'!$B$5:$C$57,IF(YEAR($F$6)=vuosi1,perusturva1,perusturva2)),2)</f>
        <v>0</v>
      </c>
      <c r="D62" s="62">
        <f>C62*(1+0.031*((IF(DAY('Virkamies 2'!$F$8)=31,DAYS360('Virkamies 2'!$F$6,'Virkamies 2'!$F$8,TRUE)-1,DAYS360('Virkamies 2'!$F$6,'Virkamies 2'!$F$8,TRUE)))/360))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133</v>
      </c>
      <c r="B64" s="57"/>
      <c r="C64" s="62"/>
      <c r="D64" s="57"/>
      <c r="E64" s="57"/>
      <c r="F64" s="57"/>
      <c r="G64" s="57"/>
      <c r="H64" s="57"/>
      <c r="I64" s="57"/>
    </row>
    <row r="65" spans="1:9">
      <c r="A65" s="5"/>
      <c r="B65" s="57"/>
      <c r="C65" s="58" t="s">
        <v>122</v>
      </c>
      <c r="D65" s="58" t="s">
        <v>122</v>
      </c>
      <c r="E65" s="58" t="s">
        <v>122</v>
      </c>
      <c r="F65" s="57"/>
      <c r="G65" s="58" t="s">
        <v>123</v>
      </c>
      <c r="H65" s="57"/>
      <c r="I65" s="57"/>
    </row>
    <row r="66" spans="1:9">
      <c r="A66" s="5"/>
      <c r="B66" s="57"/>
      <c r="C66" s="79">
        <f>'Virkamies 2'!F$6</f>
        <v>0</v>
      </c>
      <c r="D66" s="79">
        <f>'Virkamies 2'!F$8</f>
        <v>0</v>
      </c>
      <c r="E66" s="76" t="str">
        <f>$D$41</f>
        <v>1.7.2024</v>
      </c>
      <c r="F66" s="57"/>
      <c r="G66" s="58" t="s">
        <v>134</v>
      </c>
      <c r="H66" s="57"/>
      <c r="I66" s="57"/>
    </row>
    <row r="67" spans="1:9">
      <c r="A67" s="80" t="s">
        <v>126</v>
      </c>
      <c r="B67" s="57"/>
      <c r="C67" s="62">
        <f>C70-C69-C68</f>
        <v>0</v>
      </c>
      <c r="D67" s="62">
        <f>D70-D69-D68</f>
        <v>0</v>
      </c>
      <c r="E67" s="11">
        <f>ROUND(D67*(VLOOKUP(MONTH('Virkamies 2'!$F$7),aikaYEL2,4))*(VLOOKUP(MONTH('Virkamies 2'!$F$7),aikaYEL2,2)),2)</f>
        <v>0</v>
      </c>
      <c r="F67" s="57"/>
      <c r="G67" s="58" t="s">
        <v>135</v>
      </c>
      <c r="H67" s="57"/>
      <c r="I67" s="57"/>
    </row>
    <row r="68" spans="1:9">
      <c r="A68" s="80" t="s">
        <v>129</v>
      </c>
      <c r="B68" s="57"/>
      <c r="C68" s="62">
        <f>'Virkamies 2'!$F$15*12*VLOOKUP($D$40,IF(YEAR($F$6)=vuosi,'poa2024'!$F$5:$I$57,IF(YEAR($F$6)=vuosi1,vastuunjako1,vastuunjako2)),3)</f>
        <v>0</v>
      </c>
      <c r="D68" s="62">
        <f>C68*(1+0.031*((IF(DAY('Virkamies 2'!$F$8)=31,DAYS360('Virkamies 2'!$F$6,'Virkamies 2'!$F$8,TRUE)-1,DAYS360('Virkamies 2'!$F$6,'Virkamies 2'!$F$8,TRUE)))/360))</f>
        <v>0</v>
      </c>
      <c r="E68" s="81">
        <f>ROUND(D68*(VLOOKUP(MONTH('Virkamies 2'!$F$7),aikaYEL2,4))*(VLOOKUP(MONTH('Virkamies 2'!$F$7),aikaYEL2,2)),2)</f>
        <v>0</v>
      </c>
      <c r="F68" s="57"/>
      <c r="G68" s="62">
        <f>E68</f>
        <v>0</v>
      </c>
      <c r="H68" s="57"/>
      <c r="I68" s="57"/>
    </row>
    <row r="69" spans="1:9">
      <c r="A69" s="82" t="s">
        <v>130</v>
      </c>
      <c r="B69" s="83"/>
      <c r="C69" s="84">
        <f>'Virkamies 2'!$F$15*12*VLOOKUP($D$40,IF(YEAR($F$6)=vuosi,'poa2024'!$F$5:$I$57,IF(YEAR($F$6)=vuosi1,vastuunjako1,vastuunjako2)),4)</f>
        <v>0</v>
      </c>
      <c r="D69" s="84">
        <f>C69*(1+0.031*((IF(DAY('Virkamies 2'!$F$8)=31,DAYS360('Virkamies 2'!$F$6,'Virkamies 2'!$F$8,TRUE)-1,DAYS360('Virkamies 2'!$F$6,'Virkamies 2'!$F$8,TRUE)))/360))</f>
        <v>0</v>
      </c>
      <c r="E69" s="85">
        <f>ROUND(D69*(VLOOKUP(MONTH('Virkamies 2'!$F$7),aikaYEL2,4))*(VLOOKUP(MONTH('Virkamies 2'!$F$7),aikaYEL2,2)),2)</f>
        <v>0</v>
      </c>
      <c r="F69" s="57"/>
      <c r="G69" s="84">
        <f>E69</f>
        <v>0</v>
      </c>
      <c r="H69" s="57"/>
      <c r="I69" s="57"/>
    </row>
    <row r="70" spans="1:9">
      <c r="A70" s="57" t="s">
        <v>131</v>
      </c>
      <c r="B70" s="57"/>
      <c r="C70" s="62">
        <f>'Virkamies 2'!$F$15*12*VLOOKUP($D$40,IF(YEAR($F$6)=vuosi,'poa2024'!$B$5:$C$57,IF(YEAR($F$6)=vuosi1,perusturva1,perusturva2)),2)</f>
        <v>0</v>
      </c>
      <c r="D70" s="62">
        <f>C70*(1+0.031*((IF(DAY('Virkamies 2'!$F$8)=31,DAYS360('Virkamies 2'!$F$6,'Virkamies 2'!$F$8,TRUE)-1,DAYS360('Virkamies 2'!$F$6,'Virkamies 2'!$F$8,TRUE)))/360))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</row>
    <row r="71" spans="1:9">
      <c r="A71" s="57"/>
      <c r="B71" s="57"/>
      <c r="C71" s="80"/>
      <c r="D71" s="57"/>
      <c r="E71" s="57"/>
      <c r="F71" s="57"/>
      <c r="G71" s="58"/>
      <c r="H71" s="57"/>
      <c r="I71" s="57"/>
    </row>
    <row r="72" spans="1:9">
      <c r="A72" s="5" t="s">
        <v>136</v>
      </c>
      <c r="B72" s="57"/>
      <c r="C72" s="62"/>
      <c r="D72" s="57"/>
      <c r="E72" s="57"/>
      <c r="F72" s="57"/>
      <c r="G72" s="58"/>
      <c r="H72" s="57"/>
      <c r="I72" s="57"/>
    </row>
    <row r="73" spans="1:9">
      <c r="A73" s="5"/>
      <c r="B73" s="57"/>
      <c r="C73" s="58" t="s">
        <v>122</v>
      </c>
      <c r="D73" s="58" t="s">
        <v>122</v>
      </c>
      <c r="E73" s="58" t="s">
        <v>122</v>
      </c>
      <c r="F73" s="57"/>
      <c r="G73" s="58"/>
      <c r="H73" s="57"/>
      <c r="I73" s="57"/>
    </row>
    <row r="74" spans="1:9">
      <c r="A74" s="5"/>
      <c r="B74" s="57"/>
      <c r="C74" s="79">
        <f>'Virkamies 2'!F$6</f>
        <v>0</v>
      </c>
      <c r="D74" s="79">
        <f>'Virkamies 2'!F$8</f>
        <v>0</v>
      </c>
      <c r="E74" s="76" t="str">
        <f>$D$41</f>
        <v>1.7.2024</v>
      </c>
      <c r="F74" s="57"/>
      <c r="G74" s="58"/>
      <c r="H74" s="57"/>
      <c r="I74" s="57"/>
    </row>
    <row r="75" spans="1:9">
      <c r="A75" s="80" t="s">
        <v>126</v>
      </c>
      <c r="B75" s="57"/>
      <c r="C75" s="62">
        <f>C78-C77-C76</f>
        <v>0</v>
      </c>
      <c r="D75" s="62">
        <f>D78-D77-D76</f>
        <v>0</v>
      </c>
      <c r="E75" s="11">
        <f>ROUND(D75*(VLOOKUP(MONTH('Virkamies 2'!$F$7),aika2,4))*(VLOOKUP(MONTH('Virkamies 2'!$F$7),aika2,2)),2)</f>
        <v>0</v>
      </c>
      <c r="F75" s="57"/>
      <c r="G75" s="58"/>
      <c r="H75" s="57"/>
      <c r="I75" s="57"/>
    </row>
    <row r="76" spans="1:9">
      <c r="A76" s="80" t="s">
        <v>129</v>
      </c>
      <c r="B76" s="57"/>
      <c r="C76" s="62">
        <f>'Virkamies 2'!$F$16*12*VLOOKUP($D$40,IF(YEAR($F$6)=vuosi,'poa2024'!$F$5:$I$57,IF(YEAR($F$6)=vuosi1,vastuunjako1,vastuunjako2)),3)</f>
        <v>0</v>
      </c>
      <c r="D76" s="62">
        <f>C76*(1+0.031*((IF(DAY('Virkamies 2'!$F$8)=31,DAYS360('Virkamies 2'!$F$6,'Virkamies 2'!$F$8,TRUE)-1,DAYS360('Virkamies 2'!$F$6,'Virkamies 2'!$F$8,TRUE)))/360))</f>
        <v>0</v>
      </c>
      <c r="E76" s="11">
        <f>ROUND(D76*(VLOOKUP(MONTH('Virkamies 2'!$F$7),aika2,4))*(VLOOKUP(MONTH('Virkamies 2'!$F$7),aika2,2)),2)</f>
        <v>0</v>
      </c>
      <c r="F76" s="57"/>
      <c r="G76" s="58"/>
      <c r="H76" s="57"/>
      <c r="I76" s="57"/>
    </row>
    <row r="77" spans="1:9">
      <c r="A77" s="82" t="s">
        <v>130</v>
      </c>
      <c r="B77" s="83"/>
      <c r="C77" s="84">
        <f>'Virkamies 2'!$F$16*12*VLOOKUP($D$40,IF(YEAR($F$6)=vuosi,'poa2024'!$F$5:$I$57,IF(YEAR($F$6)=vuosi1,vastuunjako1,vastuunjako2)),4)</f>
        <v>0</v>
      </c>
      <c r="D77" s="84">
        <f>C77*(1+0.031*((IF(DAY('Virkamies 2'!$F$8)=31,DAYS360('Virkamies 2'!$F$6,'Virkamies 2'!$F$8,TRUE)-1,DAYS360('Virkamies 2'!$F$6,'Virkamies 2'!$F$8,TRUE)))/360))</f>
        <v>0</v>
      </c>
      <c r="E77" s="48">
        <f>ROUND(D77*(VLOOKUP(MONTH('Virkamies 2'!$F$7),aika2,4))*(VLOOKUP(MONTH('Virkamies 2'!$F$7),aika2,2)),2)</f>
        <v>0</v>
      </c>
      <c r="F77" s="57"/>
      <c r="G77" s="58"/>
      <c r="H77" s="57"/>
      <c r="I77" s="57"/>
    </row>
    <row r="78" spans="1:9">
      <c r="A78" s="57" t="s">
        <v>131</v>
      </c>
      <c r="B78" s="57"/>
      <c r="C78" s="62">
        <f>'Virkamies 2'!$F$16*12*VLOOKUP($D$40,IF(YEAR($F$6)=vuosi,'poa2024'!$B$5:$C$57,IF(YEAR($F$6)=vuosi1,perusturva1,perusturva2)),2)</f>
        <v>0</v>
      </c>
      <c r="D78" s="62">
        <f>C78*(1+0.031*((IF(DAY('Virkamies 2'!$F$8)=31,DAYS360('Virkamies 2'!$F$6,'Virkamies 2'!$F$8,TRUE)-1,DAYS360('Virkamies 2'!$F$6,'Virkamies 2'!$F$8,TRUE)))/360))</f>
        <v>0</v>
      </c>
      <c r="E78" s="62">
        <f>SUM(E75:E77)</f>
        <v>0</v>
      </c>
      <c r="F78" s="25"/>
      <c r="G78" s="58"/>
      <c r="H78" s="86" t="s">
        <v>137</v>
      </c>
      <c r="I78" s="57" t="s">
        <v>138</v>
      </c>
    </row>
    <row r="79" spans="1:9">
      <c r="A79" s="57"/>
      <c r="B79" s="57"/>
      <c r="C79" s="62"/>
      <c r="D79" s="62"/>
      <c r="E79" s="62"/>
      <c r="F79" s="57"/>
      <c r="G79" s="58"/>
      <c r="H79" s="58"/>
      <c r="I79" s="57" t="s">
        <v>139</v>
      </c>
    </row>
    <row r="80" spans="1:9">
      <c r="A80" s="5" t="s">
        <v>140</v>
      </c>
      <c r="B80" s="57"/>
      <c r="C80" s="62">
        <f>'Virkamies 2'!$F$21*12*VLOOKUP($D$40,IF(YEAR($F$6)=vuosi,'poa2024'!$B$62:$E$114,IF(YEAR($F$6)=vuosi1,lisäturva1,lisäturva2)),2)+'Virkamies 2'!$F$22*12*VLOOKUP($D$40,IF(YEAR($F$6)=vuosi,'poa2024'!$B$62:$E$114,IF(YEAR($F$6)=vuosi1,lisäturva1,lisäturva2)),IF('Virkamies 2'!$F$23="LL",3,4))</f>
        <v>0</v>
      </c>
      <c r="D80" s="62">
        <f>C80*(1+0.031*((IF(DAY('Virkamies 2'!$F$8)=31,DAYS360('Virkamies 2'!$F$6,'Virkamies 2'!$F$8,TRUE)-1,DAYS360('Virkamies 2'!$F$6,'Virkamies 2'!$F$8,TRUE)))/360))</f>
        <v>0</v>
      </c>
      <c r="E80" s="11">
        <f>ROUND(D80*(VLOOKUP(MONTH('Virkamies 2'!$F$7),aika2,4))*(VLOOKUP(MONTH('Virkamies 2'!$F$7),aika2,2)),2)</f>
        <v>0</v>
      </c>
      <c r="F80" s="58"/>
      <c r="G80" s="86">
        <f>MAX(0,H80)</f>
        <v>0</v>
      </c>
      <c r="H80" s="62">
        <f>E80-F29-F30-F31-F32-F33-F34</f>
        <v>0</v>
      </c>
      <c r="I80" s="62">
        <f>MIN(E80,0)</f>
        <v>0</v>
      </c>
    </row>
    <row r="81" spans="1:12">
      <c r="A81" s="80"/>
      <c r="B81" s="57"/>
      <c r="C81" s="62"/>
      <c r="D81" s="57"/>
      <c r="E81" s="57"/>
      <c r="F81" s="57"/>
      <c r="G81" s="62"/>
      <c r="H81" s="57"/>
      <c r="I81" s="57"/>
      <c r="J81" s="57"/>
      <c r="K81" s="57"/>
      <c r="L81" s="57"/>
    </row>
    <row r="82" spans="1:12">
      <c r="A82" s="5" t="s">
        <v>141</v>
      </c>
      <c r="B82" s="57"/>
      <c r="C82" s="62">
        <f>'Virkamies 2'!$F$24*12*VLOOKUP($D$40,IF(YEAR($F$6)=vuosi,'poa2024'!$B$62:$E$114,IF(YEAR($F$6)=vuosi1,lisäturva1,lisäturva2)),2)+'Virkamies 2'!$F$25*12*VLOOKUP($D$40,IF(YEAR($F$6)=vuosi,'poa2024'!$B$62:$E$114,IF(YEAR($F$6)=vuosi1,lisäturva1,lisäturva2)),IF('Virkamies 2'!$F$26="LL",3,4))</f>
        <v>0</v>
      </c>
      <c r="D82" s="62">
        <f>C82*(1+0.031*((IF(DAY('Virkamies 2'!$F$8)=31,DAYS360('Virkamies 2'!$F$6,'Virkamies 2'!$F$8,TRUE)-1,DAYS360('Virkamies 2'!$F$6,'Virkamies 2'!$F$8,TRUE)))/360))</f>
        <v>0</v>
      </c>
      <c r="E82" s="11">
        <f>ROUND(D82*(VLOOKUP(MONTH('Virkamies 2'!$F$7),aikaYEL2,4))*(VLOOKUP(MONTH('Virkamies 2'!$F$7),aikaYEL2,2)),2)</f>
        <v>0</v>
      </c>
      <c r="F82" s="57"/>
      <c r="G82" s="86"/>
      <c r="H82" s="57"/>
      <c r="I82" s="57"/>
      <c r="J82" s="57"/>
      <c r="K82" s="57"/>
      <c r="L82" s="57"/>
    </row>
    <row r="83" spans="1:12">
      <c r="A83" s="57"/>
      <c r="B83" s="57"/>
      <c r="C83" s="62"/>
      <c r="D83" s="62"/>
      <c r="E83" s="19"/>
      <c r="F83" s="25"/>
      <c r="G83" s="62"/>
      <c r="H83" s="57"/>
      <c r="I83" s="62"/>
      <c r="J83" s="57"/>
      <c r="K83" s="57"/>
      <c r="L83" s="57"/>
    </row>
    <row r="84" spans="1:12">
      <c r="A84" s="5" t="s">
        <v>142</v>
      </c>
      <c r="B84" s="57"/>
      <c r="C84" s="62">
        <f>'Virkamies 2'!$F$17*12*VLOOKUP($D$40,IF(YEAR($F$6)=vuosi,'poa2024'!$B$5:$C$57,IF(YEAR($F$6)=vuosi1,perusturva1,perusturva2)),2)</f>
        <v>0</v>
      </c>
      <c r="D84" s="62">
        <f>ROUND(+C84*(1+0.031*((DAYS360($F$6,$F$8))/360)),2)</f>
        <v>0</v>
      </c>
      <c r="E84" s="11">
        <f>ROUND(D84*(VLOOKUP(MONTH('Virkamies 2'!$F$7),aika2,4))*(VLOOKUP(MONTH('Virkamies 2'!$F$7),aika2,2)),2)</f>
        <v>0</v>
      </c>
      <c r="F84" s="25"/>
      <c r="G84" s="62"/>
      <c r="H84" s="57"/>
      <c r="I84" s="62"/>
      <c r="J84" s="57"/>
      <c r="K84" s="57"/>
      <c r="L84" s="57"/>
    </row>
    <row r="85" spans="1:12">
      <c r="A85" s="57"/>
      <c r="B85" s="57"/>
      <c r="C85" s="62"/>
      <c r="D85" s="62"/>
      <c r="E85" s="62"/>
      <c r="F85" s="62"/>
      <c r="G85" s="7"/>
      <c r="H85" s="57"/>
      <c r="I85" s="57"/>
      <c r="J85" s="57"/>
      <c r="K85" s="57"/>
      <c r="L85" s="57"/>
    </row>
    <row r="86" spans="1:12">
      <c r="A86" s="5" t="s">
        <v>131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12"/>
      <c r="H86" s="57"/>
      <c r="I86" s="57"/>
      <c r="J86" s="57"/>
      <c r="K86" s="57"/>
      <c r="L86" s="57"/>
    </row>
    <row r="87" spans="1:12">
      <c r="A87" s="57"/>
      <c r="B87" s="57"/>
      <c r="C87" s="57"/>
      <c r="D87" s="57"/>
      <c r="E87" s="57"/>
      <c r="F87" s="57"/>
      <c r="G87" s="62"/>
      <c r="H87" s="57"/>
      <c r="I87" s="62"/>
      <c r="J87" s="75"/>
      <c r="K87" s="57"/>
      <c r="L87" s="57"/>
    </row>
    <row r="88" spans="1:12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</row>
  </sheetData>
  <phoneticPr fontId="0" type="noConversion"/>
  <pageMargins left="0.75" right="0.75" top="1" bottom="1" header="0.4921259845" footer="0.4921259845"/>
  <pageSetup paperSize="9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8"/>
  <dimension ref="A1:AH90"/>
  <sheetViews>
    <sheetView workbookViewId="0"/>
  </sheetViews>
  <sheetFormatPr defaultColWidth="9.140625" defaultRowHeight="12.75"/>
  <cols>
    <col min="1" max="1" width="5.42578125" style="6" customWidth="1"/>
    <col min="2" max="2" width="34.5703125" style="6" customWidth="1"/>
    <col min="3" max="3" width="18" style="6" customWidth="1"/>
    <col min="4" max="4" width="16.5703125" style="6" customWidth="1"/>
    <col min="5" max="5" width="21.42578125" style="6" customWidth="1"/>
    <col min="6" max="6" width="19" style="6" customWidth="1"/>
    <col min="7" max="7" width="16.85546875" style="6" customWidth="1"/>
    <col min="8" max="8" width="9" style="6" customWidth="1"/>
    <col min="9" max="9" width="11.5703125" style="6" customWidth="1"/>
    <col min="10" max="27" width="9.140625" style="6"/>
    <col min="28" max="28" width="11.5703125" style="6" customWidth="1"/>
    <col min="29" max="16384" width="9.140625" style="6"/>
  </cols>
  <sheetData>
    <row r="1" spans="1:34" ht="18">
      <c r="A1" s="1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2"/>
      <c r="AB1" s="2" t="s">
        <v>143</v>
      </c>
      <c r="AC1" s="3" t="s">
        <v>77</v>
      </c>
      <c r="AD1" t="s">
        <v>78</v>
      </c>
      <c r="AE1" s="57"/>
      <c r="AF1" s="57"/>
      <c r="AG1" s="57"/>
      <c r="AH1" s="8" t="str">
        <f>LEFT('Virkamies 3'!F5,2)&amp;"."&amp;MID('Virkamies 3'!F5,3,2)&amp;".19"&amp;MID('Virkamies 3'!F5,5,2)</f>
        <v>..19</v>
      </c>
    </row>
    <row r="2" spans="1:34" ht="18">
      <c r="A2" s="29"/>
      <c r="B2" s="27"/>
      <c r="C2" s="57"/>
      <c r="D2" s="28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2"/>
      <c r="AB2" s="2"/>
      <c r="AC2" s="2"/>
      <c r="AD2"/>
      <c r="AE2" s="57"/>
      <c r="AF2" s="57"/>
      <c r="AG2" s="57"/>
      <c r="AH2" s="57"/>
    </row>
    <row r="3" spans="1:34" ht="14.25">
      <c r="A3" s="5" t="s">
        <v>80</v>
      </c>
      <c r="B3" s="57"/>
      <c r="C3" s="57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2">
        <v>1</v>
      </c>
      <c r="AB3" s="10">
        <f>(1+'KJ-vuosi'!B4)^((31-DAY('Virkamies 3'!$F$7))/360)</f>
        <v>1.003466091602899</v>
      </c>
      <c r="AC3" s="2">
        <f>+(1+'KJ-vuosi'!B4)^(1/12)</f>
        <v>1.0033540948994528</v>
      </c>
      <c r="AD3">
        <f>AC4*AD4</f>
        <v>1.0168833519905274</v>
      </c>
      <c r="AE3" s="57"/>
      <c r="AF3" s="57"/>
      <c r="AG3" s="57"/>
      <c r="AH3" s="57"/>
    </row>
    <row r="4" spans="1:34" ht="14.25">
      <c r="A4" s="5"/>
      <c r="B4" s="57" t="s">
        <v>82</v>
      </c>
      <c r="C4" s="57"/>
      <c r="D4" s="57"/>
      <c r="E4" s="57"/>
      <c r="F4" s="55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2">
        <v>2</v>
      </c>
      <c r="AB4" s="10">
        <f>(1+'KJ-vuosi'!B5)^((31-DAY('Virkamies 3'!$F$7))/360)</f>
        <v>1.003466091602899</v>
      </c>
      <c r="AC4" s="2">
        <f>+(1+'KJ-vuosi'!B5)^(1/12)</f>
        <v>1.0033540948994528</v>
      </c>
      <c r="AD4">
        <f t="shared" ref="AD4:AD7" si="0">AC5*AD5</f>
        <v>1.0134840303735744</v>
      </c>
      <c r="AE4" s="57"/>
      <c r="AF4" s="57"/>
      <c r="AG4" s="57"/>
      <c r="AH4" s="57"/>
    </row>
    <row r="5" spans="1:34" ht="14.25">
      <c r="A5" s="57"/>
      <c r="B5" s="57" t="s">
        <v>83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2">
        <v>3</v>
      </c>
      <c r="AB5" s="10">
        <f>(1+'KJ-vuosi'!B6)^((31-DAY('Virkamies 3'!$F$7))/360)</f>
        <v>1.003466091602899</v>
      </c>
      <c r="AC5" s="2">
        <f>+(1+'KJ-vuosi'!B6)^(1/12)</f>
        <v>1.0033540948994528</v>
      </c>
      <c r="AD5">
        <f t="shared" si="0"/>
        <v>1.0100960722895507</v>
      </c>
      <c r="AE5" s="57"/>
      <c r="AF5" s="57"/>
      <c r="AG5" s="57"/>
      <c r="AH5" s="57"/>
    </row>
    <row r="6" spans="1:34" ht="14.25">
      <c r="A6" s="57"/>
      <c r="B6" s="57" t="s">
        <v>84</v>
      </c>
      <c r="C6" s="57"/>
      <c r="D6" s="57"/>
      <c r="E6" s="57"/>
      <c r="F6" s="8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2">
        <v>4</v>
      </c>
      <c r="AB6" s="10">
        <f>(1+'KJ-vuosi'!B7)^((31-DAY('Virkamies 3'!$F$7))/360)</f>
        <v>1.003466091602899</v>
      </c>
      <c r="AC6" s="2">
        <f>+(1+'KJ-vuosi'!B7)^(1/12)</f>
        <v>1.0033540948994528</v>
      </c>
      <c r="AD6">
        <f t="shared" si="0"/>
        <v>1.0067194397515002</v>
      </c>
      <c r="AE6" s="57"/>
      <c r="AF6" s="57"/>
      <c r="AG6" s="57"/>
      <c r="AH6" s="57"/>
    </row>
    <row r="7" spans="1:34" ht="14.25">
      <c r="A7" s="57"/>
      <c r="B7" s="57" t="s">
        <v>85</v>
      </c>
      <c r="C7" s="57"/>
      <c r="D7" s="57"/>
      <c r="E7" s="57"/>
      <c r="F7" s="8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2">
        <v>5</v>
      </c>
      <c r="AB7" s="10">
        <f>(1+'KJ-vuosi'!B8)^((31-DAY('Virkamies 3'!$F$7))/360)</f>
        <v>1.003466091602899</v>
      </c>
      <c r="AC7" s="2">
        <f>+(1+'KJ-vuosi'!B8)^(1/12)</f>
        <v>1.0033540948994528</v>
      </c>
      <c r="AD7">
        <f t="shared" si="0"/>
        <v>1.0033540948994528</v>
      </c>
      <c r="AE7" s="57"/>
      <c r="AF7" s="57"/>
      <c r="AG7" s="57"/>
      <c r="AH7" s="57"/>
    </row>
    <row r="8" spans="1:34" ht="14.25">
      <c r="A8" s="57"/>
      <c r="B8" s="57" t="s">
        <v>86</v>
      </c>
      <c r="C8" s="57"/>
      <c r="D8" s="57"/>
      <c r="E8" s="57"/>
      <c r="F8" s="8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2">
        <v>6</v>
      </c>
      <c r="AB8" s="10">
        <f>(1+'KJ-vuosi'!B9)^((31-DAY('Virkamies 3'!$F$7))/360)</f>
        <v>1.003466091602899</v>
      </c>
      <c r="AC8" s="2">
        <f>+(1+'KJ-vuosi'!B9)^(1/12)</f>
        <v>1.0033540948994528</v>
      </c>
      <c r="AD8">
        <v>1</v>
      </c>
      <c r="AE8" s="57"/>
      <c r="AF8" s="57"/>
      <c r="AG8" s="57"/>
      <c r="AH8" s="57"/>
    </row>
    <row r="9" spans="1:34" ht="14.25">
      <c r="A9" s="57"/>
      <c r="B9" s="57"/>
      <c r="C9" s="57"/>
      <c r="D9" s="57"/>
      <c r="E9" s="57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2">
        <v>7</v>
      </c>
      <c r="AB9" s="10">
        <f>1/((1+'KJ-vuosi'!B10)^((DAY('Virkamies 3'!$F$7))/360))</f>
        <v>1</v>
      </c>
      <c r="AC9" s="2">
        <f>+(1+'KJ-vuosi'!B10)^(-1/12)</f>
        <v>0.99693686989174457</v>
      </c>
      <c r="AD9">
        <v>1</v>
      </c>
      <c r="AE9" s="57"/>
      <c r="AF9" s="57"/>
      <c r="AG9" s="57"/>
      <c r="AH9" s="57"/>
    </row>
    <row r="10" spans="1:34" ht="14.25">
      <c r="A10" s="5" t="s">
        <v>87</v>
      </c>
      <c r="B10" s="57"/>
      <c r="C10" s="57"/>
      <c r="D10" s="57"/>
      <c r="E10" s="57"/>
      <c r="F10" s="62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2">
        <v>8</v>
      </c>
      <c r="AB10" s="10">
        <f>1/((1+'KJ-vuosi'!B11)^((DAY('Virkamies 3'!$F$7))/360))</f>
        <v>1</v>
      </c>
      <c r="AC10" s="2">
        <f>+(1+'KJ-vuosi'!B11)^(-1/12)</f>
        <v>0.99693686989174457</v>
      </c>
      <c r="AD10">
        <f>+AC9</f>
        <v>0.99693686989174457</v>
      </c>
      <c r="AE10" s="57"/>
      <c r="AF10" s="57"/>
      <c r="AG10" s="57"/>
      <c r="AH10" s="57"/>
    </row>
    <row r="11" spans="1:34" ht="14.25">
      <c r="A11" s="5" t="s">
        <v>88</v>
      </c>
      <c r="B11" s="57"/>
      <c r="C11" s="57"/>
      <c r="D11" s="57"/>
      <c r="E11" s="57"/>
      <c r="F11" s="62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2">
        <v>9</v>
      </c>
      <c r="AB11" s="10">
        <f>1/((1+'KJ-vuosi'!B12)^((DAY('Virkamies 3'!$F$7))/360))</f>
        <v>1</v>
      </c>
      <c r="AC11" s="2">
        <f>+(1+'KJ-vuosi'!B12)^(-1/12)</f>
        <v>0.99693686989174457</v>
      </c>
      <c r="AD11">
        <f>+AD10*AC10</f>
        <v>0.99388312254954925</v>
      </c>
      <c r="AE11" s="57"/>
      <c r="AF11" s="57"/>
      <c r="AG11" s="57"/>
      <c r="AH11" s="57"/>
    </row>
    <row r="12" spans="1:34" ht="14.25">
      <c r="A12" s="57"/>
      <c r="B12" s="57" t="s">
        <v>89</v>
      </c>
      <c r="C12" s="57"/>
      <c r="D12" s="57"/>
      <c r="E12" s="57"/>
      <c r="F12" s="89"/>
      <c r="G12" s="6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2">
        <v>10</v>
      </c>
      <c r="AB12" s="10">
        <f>1/((1+'KJ-vuosi'!B13)^((DAY('Virkamies 3'!$F$7))/360))</f>
        <v>1</v>
      </c>
      <c r="AC12" s="2">
        <f>+(1+'KJ-vuosi'!B13)^(-1/12)</f>
        <v>0.99693686989174457</v>
      </c>
      <c r="AD12">
        <f>+AD11*AC11</f>
        <v>0.99083872923278082</v>
      </c>
      <c r="AE12" s="57"/>
      <c r="AF12" s="57"/>
      <c r="AG12" s="57"/>
      <c r="AH12" s="57"/>
    </row>
    <row r="13" spans="1:34" ht="14.25">
      <c r="A13" s="57"/>
      <c r="B13" s="57" t="s">
        <v>90</v>
      </c>
      <c r="C13" s="57"/>
      <c r="D13" s="57"/>
      <c r="E13" s="57"/>
      <c r="F13" s="74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2">
        <v>11</v>
      </c>
      <c r="AB13" s="10">
        <f>1/((1+'KJ-vuosi'!B14)^((DAY('Virkamies 3'!$F$7))/360))</f>
        <v>1</v>
      </c>
      <c r="AC13" s="2">
        <f>+(1+'KJ-vuosi'!B14)^(-1/12)</f>
        <v>0.99693686989174457</v>
      </c>
      <c r="AD13">
        <f>+AD12*AC12</f>
        <v>0.98780366128884234</v>
      </c>
      <c r="AE13" s="57"/>
      <c r="AF13" s="57"/>
      <c r="AG13" s="57"/>
      <c r="AH13" s="57"/>
    </row>
    <row r="14" spans="1:34" ht="14.25">
      <c r="A14" s="57"/>
      <c r="B14" s="57" t="s">
        <v>144</v>
      </c>
      <c r="C14" s="57"/>
      <c r="D14" s="57"/>
      <c r="E14" s="57"/>
      <c r="F14" s="74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2">
        <v>12</v>
      </c>
      <c r="AB14" s="10">
        <f>1/((1+'KJ-vuosi'!B15)^((DAY('Virkamies 3'!$F$7))/360))</f>
        <v>1</v>
      </c>
      <c r="AC14" s="2">
        <f>+(1+'KJ-vuosi'!B15)^(-1/12)</f>
        <v>0.99693686989174457</v>
      </c>
      <c r="AD14">
        <f>+AD13*AC13</f>
        <v>0.98477789015290351</v>
      </c>
      <c r="AE14" s="57"/>
      <c r="AF14" s="57"/>
      <c r="AG14" s="57"/>
      <c r="AH14" s="57"/>
    </row>
    <row r="15" spans="1:34">
      <c r="A15" s="57"/>
      <c r="B15" s="57" t="s">
        <v>92</v>
      </c>
      <c r="C15" s="57"/>
      <c r="D15" s="57"/>
      <c r="E15" s="57"/>
      <c r="F15" s="74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</row>
    <row r="16" spans="1:34">
      <c r="A16" s="57"/>
      <c r="B16" s="57" t="s">
        <v>93</v>
      </c>
      <c r="C16" s="57"/>
      <c r="D16" s="57"/>
      <c r="E16" s="57"/>
      <c r="F16" s="7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</row>
    <row r="17" spans="1:34">
      <c r="A17" s="57"/>
      <c r="B17" s="57" t="s">
        <v>94</v>
      </c>
      <c r="C17" s="57"/>
      <c r="D17" s="57"/>
      <c r="E17" s="57"/>
      <c r="F17" s="74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</row>
    <row r="18" spans="1:34">
      <c r="A18" s="57"/>
      <c r="B18" s="57"/>
      <c r="C18" s="57"/>
      <c r="D18" s="57"/>
      <c r="E18" s="57"/>
      <c r="F18" s="6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</row>
    <row r="19" spans="1:34">
      <c r="A19" s="5" t="s">
        <v>95</v>
      </c>
      <c r="B19" s="57"/>
      <c r="C19" s="57"/>
      <c r="D19" s="57"/>
      <c r="E19" s="57"/>
      <c r="F19" s="62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</row>
    <row r="20" spans="1:34">
      <c r="A20" s="5" t="s">
        <v>88</v>
      </c>
      <c r="B20" s="57"/>
      <c r="C20" s="57"/>
      <c r="D20" s="57"/>
      <c r="E20" s="57"/>
      <c r="F20" s="62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t="s">
        <v>76</v>
      </c>
      <c r="AC20" t="s">
        <v>77</v>
      </c>
      <c r="AD20" t="s">
        <v>78</v>
      </c>
      <c r="AE20" s="57"/>
      <c r="AF20" s="57"/>
      <c r="AG20" s="57"/>
      <c r="AH20" s="8" t="str">
        <f>LEFT(F5,2)&amp;"."&amp;MID(F5,3,2)&amp;".19"&amp;MID(F5,5,2)</f>
        <v>..19</v>
      </c>
    </row>
    <row r="21" spans="1:34">
      <c r="A21" s="57"/>
      <c r="B21" s="57" t="s">
        <v>96</v>
      </c>
      <c r="C21" s="57"/>
      <c r="D21" s="57"/>
      <c r="E21" s="57"/>
      <c r="F21" s="74"/>
      <c r="G21" s="6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t="s">
        <v>79</v>
      </c>
      <c r="AC21"/>
      <c r="AD21"/>
      <c r="AE21" s="57"/>
      <c r="AF21" s="57"/>
      <c r="AG21" s="57"/>
      <c r="AH21" s="57"/>
    </row>
    <row r="22" spans="1:34" ht="14.25">
      <c r="A22" s="57"/>
      <c r="B22" s="57" t="s">
        <v>97</v>
      </c>
      <c r="C22" s="57"/>
      <c r="D22" s="57"/>
      <c r="E22" s="57"/>
      <c r="F22" s="74"/>
      <c r="G22" s="62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 t="s">
        <v>98</v>
      </c>
      <c r="AA22" s="2">
        <v>1</v>
      </c>
      <c r="AB22" s="66">
        <f>(1+'KJ-vuosi'!$B$16)^((31-DAY($F$7))/360)</f>
        <v>1.003466091602899</v>
      </c>
      <c r="AC22" s="2">
        <f>+(1+'KJ-vuosi'!B16)^(1/12)</f>
        <v>1.0033540948994528</v>
      </c>
      <c r="AD22">
        <f>AC23*AD23</f>
        <v>1.0168833519905274</v>
      </c>
      <c r="AE22" s="57"/>
      <c r="AF22" s="57"/>
      <c r="AG22" s="57"/>
      <c r="AH22" s="57"/>
    </row>
    <row r="23" spans="1:34" ht="14.25">
      <c r="A23" s="57"/>
      <c r="B23" s="57" t="s">
        <v>99</v>
      </c>
      <c r="C23" s="57"/>
      <c r="D23" s="57"/>
      <c r="E23" s="57"/>
      <c r="F23" s="5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2">
        <v>2</v>
      </c>
      <c r="AB23" s="66">
        <f>(1+'KJ-vuosi'!$B$16)^((31-DAY($F$7))/360)</f>
        <v>1.003466091602899</v>
      </c>
      <c r="AC23" s="2">
        <f>+(1+'KJ-vuosi'!B16)^(1/12)</f>
        <v>1.0033540948994528</v>
      </c>
      <c r="AD23">
        <f t="shared" ref="AD23:AD26" si="1">AC24*AD24</f>
        <v>1.0134840303735744</v>
      </c>
      <c r="AE23" s="57"/>
      <c r="AF23" s="57"/>
      <c r="AG23" s="57"/>
      <c r="AH23" s="57"/>
    </row>
    <row r="24" spans="1:34" ht="14.25">
      <c r="A24" s="57"/>
      <c r="B24" s="57" t="s">
        <v>100</v>
      </c>
      <c r="C24" s="57"/>
      <c r="D24" s="57"/>
      <c r="E24" s="57"/>
      <c r="F24" s="7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2">
        <v>3</v>
      </c>
      <c r="AB24" s="66">
        <f>(1+'KJ-vuosi'!$B$16)^((31-DAY($F$7))/360)</f>
        <v>1.003466091602899</v>
      </c>
      <c r="AC24" s="2">
        <f>+(1+'KJ-vuosi'!B16)^(1/12)</f>
        <v>1.0033540948994528</v>
      </c>
      <c r="AD24">
        <f t="shared" si="1"/>
        <v>1.0100960722895507</v>
      </c>
      <c r="AE24" s="57"/>
      <c r="AF24" s="57"/>
      <c r="AG24" s="57"/>
      <c r="AH24" s="57"/>
    </row>
    <row r="25" spans="1:34" ht="14.25">
      <c r="A25" s="57"/>
      <c r="B25" s="57" t="s">
        <v>101</v>
      </c>
      <c r="C25" s="57"/>
      <c r="D25" s="57"/>
      <c r="E25" s="57"/>
      <c r="F25" s="74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2">
        <v>4</v>
      </c>
      <c r="AB25" s="66">
        <f>(1+'KJ-vuosi'!$B$16)^((31-DAY($F$7))/360)</f>
        <v>1.003466091602899</v>
      </c>
      <c r="AC25" s="2">
        <f>+(1+'KJ-vuosi'!B16)^(1/12)</f>
        <v>1.0033540948994528</v>
      </c>
      <c r="AD25">
        <f t="shared" si="1"/>
        <v>1.0067194397515002</v>
      </c>
      <c r="AE25" s="57"/>
      <c r="AF25" s="57"/>
      <c r="AG25" s="57"/>
      <c r="AH25" s="57"/>
    </row>
    <row r="26" spans="1:34" ht="14.25">
      <c r="A26" s="57"/>
      <c r="B26" s="57" t="s">
        <v>102</v>
      </c>
      <c r="C26" s="57"/>
      <c r="D26" s="57"/>
      <c r="E26" s="57"/>
      <c r="F26" s="5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2">
        <v>5</v>
      </c>
      <c r="AB26" s="66">
        <f>(1+'KJ-vuosi'!$B$16)^((31-DAY($F$7))/360)</f>
        <v>1.003466091602899</v>
      </c>
      <c r="AC26" s="2">
        <f>+(1+'KJ-vuosi'!B16)^(1/12)</f>
        <v>1.0033540948994528</v>
      </c>
      <c r="AD26">
        <f t="shared" si="1"/>
        <v>1.0033540948994528</v>
      </c>
      <c r="AE26" s="57"/>
      <c r="AF26" s="57"/>
      <c r="AG26" s="57"/>
      <c r="AH26" s="57"/>
    </row>
    <row r="27" spans="1:34" ht="14.2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2">
        <v>6</v>
      </c>
      <c r="AB27" s="66">
        <f>(1+'KJ-vuosi'!$B$16)^((31-DAY($F$7))/360)</f>
        <v>1.003466091602899</v>
      </c>
      <c r="AC27" s="2">
        <f>+(1+'KJ-vuosi'!B16)^(1/12)</f>
        <v>1.0033540948994528</v>
      </c>
      <c r="AD27">
        <v>1</v>
      </c>
      <c r="AE27" s="57"/>
      <c r="AF27" s="57"/>
      <c r="AG27" s="57"/>
      <c r="AH27" s="57"/>
    </row>
    <row r="28" spans="1:34" ht="14.25">
      <c r="A28" s="5" t="s">
        <v>103</v>
      </c>
      <c r="B28" s="5"/>
      <c r="C28" s="57"/>
      <c r="D28" s="57"/>
      <c r="E28" s="57"/>
      <c r="F28" s="52">
        <f>F7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2">
        <v>7</v>
      </c>
      <c r="AB28" s="66">
        <f>1/((1+'KJ-vuosi'!$B$16)^((DAY('Virkamies 3'!$F$7))/360))</f>
        <v>1</v>
      </c>
      <c r="AC28" s="2">
        <f>+(1+'KJ-vuosi'!B16)^(-1/12)</f>
        <v>0.99665711744587149</v>
      </c>
      <c r="AD28">
        <v>1</v>
      </c>
      <c r="AE28" s="57"/>
      <c r="AF28" s="57"/>
      <c r="AG28" s="57"/>
      <c r="AH28" s="57"/>
    </row>
    <row r="29" spans="1:34" ht="14.25">
      <c r="A29" s="57"/>
      <c r="B29" s="57" t="s">
        <v>104</v>
      </c>
      <c r="C29" s="57"/>
      <c r="D29" s="57"/>
      <c r="E29" s="57"/>
      <c r="F29" s="53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2">
        <v>8</v>
      </c>
      <c r="AB29" s="66">
        <f>1/((1+'KJ-vuosi'!$B$16)^((DAY('Virkamies 3'!$F$7))/360))</f>
        <v>1</v>
      </c>
      <c r="AC29" s="2">
        <f>+(1+'KJ-vuosi'!B16)^(-1/12)</f>
        <v>0.99665711744587149</v>
      </c>
      <c r="AD29">
        <f>+AC28</f>
        <v>0.99665711744587149</v>
      </c>
      <c r="AE29" s="57"/>
      <c r="AF29" s="57"/>
      <c r="AG29" s="57"/>
      <c r="AH29" s="57"/>
    </row>
    <row r="30" spans="1:34" ht="14.25">
      <c r="A30" s="57"/>
      <c r="B30" s="57" t="s">
        <v>105</v>
      </c>
      <c r="C30" s="57"/>
      <c r="D30" s="57"/>
      <c r="E30" s="57"/>
      <c r="F30" s="74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2">
        <v>9</v>
      </c>
      <c r="AB30" s="66">
        <f>1/((1+'KJ-vuosi'!$B$16)^((DAY('Virkamies 3'!$F$7))/360))</f>
        <v>1</v>
      </c>
      <c r="AC30" s="2">
        <f>+(1+'KJ-vuosi'!B16)^(-1/12)</f>
        <v>0.99665711744587149</v>
      </c>
      <c r="AD30">
        <f>+AD29*AC29</f>
        <v>0.99332540975551364</v>
      </c>
      <c r="AE30" s="57"/>
      <c r="AF30" s="57"/>
      <c r="AG30" s="57"/>
      <c r="AH30" s="57"/>
    </row>
    <row r="31" spans="1:34" ht="14.25">
      <c r="A31" s="57"/>
      <c r="B31" s="57" t="s">
        <v>106</v>
      </c>
      <c r="C31" s="57"/>
      <c r="D31" s="57"/>
      <c r="E31" s="57"/>
      <c r="F31" s="53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2">
        <v>10</v>
      </c>
      <c r="AB31" s="66">
        <f>1/((1+'KJ-vuosi'!$B$16)^((DAY('Virkamies 3'!$F$7))/360))</f>
        <v>1</v>
      </c>
      <c r="AC31" s="2">
        <f>+(1+'KJ-vuosi'!B16)^(-1/12)</f>
        <v>0.99665711744587149</v>
      </c>
      <c r="AD31">
        <f>+AD30*AC30</f>
        <v>0.99000483957266938</v>
      </c>
      <c r="AE31" s="57"/>
      <c r="AF31" s="57"/>
      <c r="AG31" s="57"/>
      <c r="AH31" s="57"/>
    </row>
    <row r="32" spans="1:34" ht="14.25">
      <c r="A32" s="57"/>
      <c r="B32" s="57" t="s">
        <v>107</v>
      </c>
      <c r="C32" s="57"/>
      <c r="D32" s="57"/>
      <c r="E32" s="57"/>
      <c r="F32" s="74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2">
        <v>11</v>
      </c>
      <c r="AB32" s="66">
        <f>1/((1+'KJ-vuosi'!$B$16)^((DAY('Virkamies 3'!$F$7))/360))</f>
        <v>1</v>
      </c>
      <c r="AC32" s="2">
        <f>+(1+'KJ-vuosi'!B16)^(-1/12)</f>
        <v>0.99665711744587149</v>
      </c>
      <c r="AD32">
        <f>+AD31*AC31</f>
        <v>0.98669536966595905</v>
      </c>
      <c r="AE32" s="57"/>
      <c r="AF32" s="57"/>
      <c r="AG32" s="57"/>
      <c r="AH32" s="57"/>
    </row>
    <row r="33" spans="1:30" ht="14.25">
      <c r="A33" s="57"/>
      <c r="B33" s="57" t="s">
        <v>108</v>
      </c>
      <c r="C33" s="57"/>
      <c r="D33" s="57"/>
      <c r="E33" s="57"/>
      <c r="F33" s="53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2">
        <v>12</v>
      </c>
      <c r="AB33" s="66">
        <f>1/((1+'KJ-vuosi'!$B$16)^((DAY('Virkamies 3'!$F$7))/360))</f>
        <v>1</v>
      </c>
      <c r="AC33" s="2">
        <f>+(1+'KJ-vuosi'!B16)^(-1/12)</f>
        <v>0.99665711744587149</v>
      </c>
      <c r="AD33">
        <f>+AD32*AC32</f>
        <v>0.98339696292846335</v>
      </c>
    </row>
    <row r="34" spans="1:30">
      <c r="A34" s="57"/>
      <c r="B34" s="57" t="s">
        <v>109</v>
      </c>
      <c r="C34" s="57"/>
      <c r="D34" s="57"/>
      <c r="E34" s="57"/>
      <c r="F34" s="74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</row>
    <row r="36" spans="1:30">
      <c r="A36" s="57" t="s">
        <v>110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8" spans="1:30" ht="18">
      <c r="A38" s="1" t="s">
        <v>111</v>
      </c>
      <c r="B38" s="57"/>
      <c r="C38" s="57"/>
      <c r="D38" s="57"/>
      <c r="E38" s="57"/>
      <c r="F38" s="57"/>
      <c r="G38" s="57"/>
      <c r="H38" s="57"/>
      <c r="I38" s="62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 spans="1:30">
      <c r="A39" s="57"/>
      <c r="B39" s="57"/>
      <c r="C39" s="57"/>
      <c r="D39" s="57"/>
      <c r="E39" s="57"/>
      <c r="F39" s="57"/>
      <c r="G39" s="57"/>
      <c r="H39" s="57"/>
      <c r="I39" s="62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1:30">
      <c r="A40" s="57" t="s">
        <v>112</v>
      </c>
      <c r="B40" s="57"/>
      <c r="C40" s="57"/>
      <c r="D40" s="63">
        <f>IF(F6="",18,YEAR(F6)-(1900+MID(F5,5,2)))</f>
        <v>18</v>
      </c>
      <c r="E40" s="57"/>
      <c r="F40" s="57"/>
      <c r="G40" s="57"/>
      <c r="H40" s="57"/>
      <c r="I40" s="62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>
      <c r="A41" s="57" t="s">
        <v>151</v>
      </c>
      <c r="B41" s="57"/>
      <c r="C41" s="57"/>
      <c r="D41" s="76" t="str">
        <f>+"1.7."&amp;TEXT('KJ-vuosi'!$B$3,0)</f>
        <v>1.7.2024</v>
      </c>
      <c r="E41" s="57"/>
      <c r="F41" s="57"/>
      <c r="G41" s="57"/>
      <c r="H41" s="57"/>
      <c r="I41" s="62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>
      <c r="A42" s="57"/>
      <c r="B42" s="57"/>
      <c r="C42" s="62"/>
      <c r="D42" s="57"/>
      <c r="E42" s="57"/>
      <c r="F42" s="57"/>
      <c r="G42" s="57"/>
      <c r="H42" s="57"/>
      <c r="I42" s="62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1:30">
      <c r="A43" s="5" t="s">
        <v>113</v>
      </c>
      <c r="B43" s="57"/>
      <c r="C43" s="57"/>
      <c r="D43" s="57"/>
      <c r="E43" s="57"/>
      <c r="F43" s="57"/>
      <c r="G43" s="57"/>
      <c r="H43" s="57"/>
      <c r="I43" s="62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</row>
    <row r="44" spans="1:30">
      <c r="A44" s="57"/>
      <c r="B44" s="57"/>
      <c r="C44" s="58" t="s">
        <v>114</v>
      </c>
      <c r="D44" s="58" t="s">
        <v>115</v>
      </c>
      <c r="E44" s="58" t="s">
        <v>116</v>
      </c>
      <c r="F44" s="57"/>
      <c r="G44" s="57"/>
      <c r="H44" s="57"/>
      <c r="I44" s="62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1:30">
      <c r="A45" s="57"/>
      <c r="B45" s="57"/>
      <c r="C45" s="58" t="s">
        <v>117</v>
      </c>
      <c r="D45" s="77" t="s">
        <v>118</v>
      </c>
      <c r="E45" s="58" t="s">
        <v>119</v>
      </c>
      <c r="F45" s="57"/>
      <c r="G45" s="57"/>
      <c r="H45" s="57"/>
      <c r="I45" s="62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 spans="1:30">
      <c r="A46" s="57"/>
      <c r="B46" s="57"/>
      <c r="C46" s="78"/>
      <c r="D46" s="77" t="s">
        <v>120</v>
      </c>
      <c r="E46" s="58" t="str">
        <f>+D41&amp;")"</f>
        <v>1.7.2024)</v>
      </c>
      <c r="F46" s="57"/>
      <c r="G46" s="57"/>
      <c r="H46" s="57"/>
      <c r="I46" s="62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</row>
    <row r="47" spans="1:30">
      <c r="A47" s="57"/>
      <c r="B47" s="57"/>
      <c r="C47" s="78"/>
      <c r="D47" s="57"/>
      <c r="E47" s="77"/>
      <c r="F47" s="57"/>
      <c r="G47" s="57"/>
      <c r="H47" s="57"/>
      <c r="I47" s="62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8" spans="1:30">
      <c r="A48" s="5" t="s">
        <v>121</v>
      </c>
      <c r="B48" s="57"/>
      <c r="C48" s="78"/>
      <c r="D48" s="78"/>
      <c r="E48" s="77"/>
      <c r="F48" s="57"/>
      <c r="G48" s="57"/>
      <c r="H48" s="57"/>
      <c r="I48" s="62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</row>
    <row r="49" spans="1:9">
      <c r="A49" s="57"/>
      <c r="B49" s="57"/>
      <c r="C49" s="58" t="s">
        <v>122</v>
      </c>
      <c r="D49" s="58" t="s">
        <v>122</v>
      </c>
      <c r="E49" s="58" t="s">
        <v>122</v>
      </c>
      <c r="F49" s="58"/>
      <c r="G49" s="58" t="s">
        <v>123</v>
      </c>
      <c r="H49" s="57"/>
      <c r="I49" s="62"/>
    </row>
    <row r="50" spans="1:9">
      <c r="A50" s="5"/>
      <c r="B50" s="57"/>
      <c r="C50" s="79">
        <f>'Virkamies 3'!F$6</f>
        <v>0</v>
      </c>
      <c r="D50" s="79">
        <f>'Virkamies 3'!F$8</f>
        <v>0</v>
      </c>
      <c r="E50" s="76" t="str">
        <f>$D$41</f>
        <v>1.7.2024</v>
      </c>
      <c r="F50" s="79"/>
      <c r="G50" s="58" t="s">
        <v>124</v>
      </c>
      <c r="H50" s="57"/>
      <c r="I50" s="57" t="s">
        <v>125</v>
      </c>
    </row>
    <row r="51" spans="1:9">
      <c r="A51" s="80" t="s">
        <v>126</v>
      </c>
      <c r="B51" s="57"/>
      <c r="C51" s="62">
        <f>C54-C53-C52</f>
        <v>0</v>
      </c>
      <c r="D51" s="62">
        <f>D54-D53-D52</f>
        <v>0</v>
      </c>
      <c r="E51" s="11">
        <f>ROUND(D51*(VLOOKUP(MONTH('Virkamies 3'!$F$7),aika3,4))*(VLOOKUP(MONTH('Virkamies 3'!$F$7),aika3,2)),2)</f>
        <v>0</v>
      </c>
      <c r="F51" s="57"/>
      <c r="G51" s="58" t="s">
        <v>127</v>
      </c>
      <c r="H51" s="57"/>
      <c r="I51" s="57" t="s">
        <v>128</v>
      </c>
    </row>
    <row r="52" spans="1:9">
      <c r="A52" s="80" t="s">
        <v>129</v>
      </c>
      <c r="B52" s="57"/>
      <c r="C52" s="62">
        <f>'Virkamies 3'!$F$12*12*VLOOKUP($D$40,IF(YEAR($F$6)=vuosi,'poa2024'!$F$5:$I$57,IF(YEAR($F$6)=vuosi1,vastuunjako1,vastuunjako2)),3)</f>
        <v>0</v>
      </c>
      <c r="D52" s="62">
        <f>C52*(1+0.031*((IF(DAY('Virkamies 3'!$F$8)=31,DAYS360('Virkamies 3'!$F$6,'Virkamies 3'!$F$8,TRUE)-1,DAYS360('Virkamies 3'!$F$6,'Virkamies 3'!$F$8,TRUE)))/360))</f>
        <v>0</v>
      </c>
      <c r="E52" s="81">
        <f>ROUND(D52*(VLOOKUP(MONTH('Virkamies 3'!$F$7),aika3,4))*(VLOOKUP(MONTH('Virkamies 3'!$F$7),aika3,2)),2)</f>
        <v>0</v>
      </c>
      <c r="F52" s="57"/>
      <c r="G52" s="47">
        <f>E52</f>
        <v>0</v>
      </c>
      <c r="H52" s="57"/>
      <c r="I52" s="57"/>
    </row>
    <row r="53" spans="1:9">
      <c r="A53" s="82" t="s">
        <v>130</v>
      </c>
      <c r="B53" s="83"/>
      <c r="C53" s="84">
        <f>'Virkamies 3'!$F$12*12*VLOOKUP($D$40,IF(YEAR($F$6)=vuosi,'poa2024'!$F$5:$I$57,IF(YEAR($F$6)=vuosi1,vastuunjako1,vastuunjako2)),4)</f>
        <v>0</v>
      </c>
      <c r="D53" s="84">
        <f>C53*(1+0.031*((IF(DAY('Virkamies 3'!$F$8)=31,DAYS360('Virkamies 3'!$F$6,'Virkamies 3'!$F$8,TRUE)-1,DAYS360('Virkamies 3'!$F$6,'Virkamies 3'!$F$8,TRUE)))/360))</f>
        <v>0</v>
      </c>
      <c r="E53" s="85">
        <f>ROUND(D53*(VLOOKUP(MONTH('Virkamies 3'!$F$7),aika3,4))*(VLOOKUP(MONTH('Virkamies 3'!$F$7),aika3,2)),2)</f>
        <v>0</v>
      </c>
      <c r="F53" s="57"/>
      <c r="G53" s="84">
        <f>E53</f>
        <v>0</v>
      </c>
      <c r="H53" s="57"/>
      <c r="I53" s="83"/>
    </row>
    <row r="54" spans="1:9">
      <c r="A54" s="57" t="s">
        <v>131</v>
      </c>
      <c r="B54" s="57"/>
      <c r="C54" s="62">
        <f>'Virkamies 3'!$F$12*12*VLOOKUP($D$40,IF(YEAR($F$6)=vuosi,'poa2024'!$B$5:$C$57,IF(YEAR($F$6)=vuosi1,perusturva1,perusturva2)),2)</f>
        <v>0</v>
      </c>
      <c r="D54" s="62">
        <f>C54*(1+0.031*((IF(DAY('Virkamies 3'!$F$8)=31,DAYS360('Virkamies 3'!$F$6,'Virkamies 3'!$F$8,TRUE)-1,DAYS360('Virkamies 3'!$F$6,'Virkamies 3'!$F$8,TRUE)))/360))</f>
        <v>0</v>
      </c>
      <c r="E54" s="62">
        <f>SUM(E51:E53)</f>
        <v>0</v>
      </c>
      <c r="F54" s="25"/>
      <c r="G54" s="19">
        <f>SUM(G52:G53)</f>
        <v>0</v>
      </c>
      <c r="H54" s="57"/>
      <c r="I54" s="19">
        <f>ROUND((('Virkamies 3'!$F$14*12*VLOOKUP($D$40,IF(YEAR($F$6)=vuosi,'poa2024'!B5:C57,IF(YEAR($F$6)=vuosi1,perusturva1,perusturva2)),2))*(1+0.031*((IF(DAY('Virkamies 3'!$F$8)=31,DAYS360('Virkamies 3'!$F$6,'Virkamies 3'!$F$8,TRUE)-1,DAYS360('Virkamies 3'!$F$6,'Virkamies 3'!$F$8,TRUE)))/360))*(VLOOKUP(MONTH('Virkamies 3'!$F$7),aika1,4))*(VLOOKUP(MONTH('Virkamies 3'!$F$7),aika1,2))),2)</f>
        <v>0</v>
      </c>
    </row>
    <row r="55" spans="1:9">
      <c r="A55" s="57"/>
      <c r="B55" s="57"/>
      <c r="C55" s="62"/>
      <c r="D55" s="62"/>
      <c r="E55" s="62"/>
      <c r="F55" s="57"/>
      <c r="G55" s="57"/>
      <c r="H55" s="57"/>
      <c r="I55" s="57"/>
    </row>
    <row r="56" spans="1:9">
      <c r="A56" s="5" t="s">
        <v>132</v>
      </c>
      <c r="B56" s="57"/>
      <c r="C56" s="62"/>
      <c r="D56" s="62"/>
      <c r="E56" s="62"/>
      <c r="F56" s="57"/>
      <c r="G56" s="57"/>
      <c r="H56" s="57"/>
      <c r="I56" s="57"/>
    </row>
    <row r="57" spans="1:9">
      <c r="A57" s="57"/>
      <c r="B57" s="57"/>
      <c r="C57" s="58" t="s">
        <v>122</v>
      </c>
      <c r="D57" s="58" t="s">
        <v>122</v>
      </c>
      <c r="E57" s="58" t="s">
        <v>122</v>
      </c>
      <c r="F57" s="57"/>
      <c r="G57" s="57"/>
      <c r="H57" s="57"/>
      <c r="I57" s="57"/>
    </row>
    <row r="58" spans="1:9">
      <c r="A58" s="5"/>
      <c r="B58" s="57"/>
      <c r="C58" s="79">
        <f>'Virkamies 3'!F$6</f>
        <v>0</v>
      </c>
      <c r="D58" s="79">
        <f>'Virkamies 3'!F$8</f>
        <v>0</v>
      </c>
      <c r="E58" s="76" t="str">
        <f>$D$41</f>
        <v>1.7.2024</v>
      </c>
      <c r="F58" s="57"/>
      <c r="G58" s="57"/>
      <c r="H58" s="57"/>
      <c r="I58" s="57"/>
    </row>
    <row r="59" spans="1:9">
      <c r="A59" s="80" t="s">
        <v>126</v>
      </c>
      <c r="B59" s="57"/>
      <c r="C59" s="62">
        <f>C62-C61-C60</f>
        <v>0</v>
      </c>
      <c r="D59" s="62">
        <f>D62-D61-D60</f>
        <v>0</v>
      </c>
      <c r="E59" s="11">
        <f>ROUND(D59*(VLOOKUP(MONTH('Virkamies 3'!$F$7),aika3,4))*(VLOOKUP(MONTH('Virkamies 3'!$F$7),aika3,2)),2)</f>
        <v>0</v>
      </c>
      <c r="F59" s="57"/>
      <c r="G59" s="57"/>
      <c r="H59" s="57"/>
      <c r="I59" s="57"/>
    </row>
    <row r="60" spans="1:9">
      <c r="A60" s="80" t="s">
        <v>129</v>
      </c>
      <c r="B60" s="57"/>
      <c r="C60" s="62">
        <f>'Virkamies 3'!$F$13*12*VLOOKUP($D$40,IF(YEAR($F$6)=vuosi,'poa2024'!$F$5:$I$57,IF(YEAR($F$6)=vuosi1,vastuunjako1,vastuunjako2)),3)</f>
        <v>0</v>
      </c>
      <c r="D60" s="62">
        <f>C60*(1+0.031*((IF(DAY('Virkamies 3'!$F$8)=31,DAYS360('Virkamies 3'!$F$6,'Virkamies 3'!$F$8,TRUE)-1,DAYS360('Virkamies 3'!$F$6,'Virkamies 3'!$F$8,TRUE)))/360))</f>
        <v>0</v>
      </c>
      <c r="E60" s="81">
        <f>ROUND(D60*(VLOOKUP(MONTH('Virkamies 3'!$F$7),aika3,4))*(VLOOKUP(MONTH('Virkamies 3'!$F$7),aika3,2)),2)</f>
        <v>0</v>
      </c>
      <c r="F60" s="57"/>
      <c r="G60" s="57"/>
      <c r="H60" s="57"/>
      <c r="I60" s="57"/>
    </row>
    <row r="61" spans="1:9">
      <c r="A61" s="82" t="s">
        <v>130</v>
      </c>
      <c r="B61" s="83"/>
      <c r="C61" s="84">
        <f>'Virkamies 3'!$F$13*12*VLOOKUP($D$40,IF(YEAR($F$6)=vuosi,'poa2024'!$F$5:$I$57,IF(YEAR($F$6)=vuosi1,vastuunjako1,vastuunjako2)),4)</f>
        <v>0</v>
      </c>
      <c r="D61" s="84">
        <f>C61*(1+0.031*((IF(DAY('Virkamies 3'!$F$8)=31,DAYS360('Virkamies 3'!$F$6,'Virkamies 3'!$F$8,TRUE)-1,DAYS360('Virkamies 3'!$F$6,'Virkamies 3'!$F$8,TRUE)))/360))</f>
        <v>0</v>
      </c>
      <c r="E61" s="85">
        <f>ROUND(D61*(VLOOKUP(MONTH('Virkamies 3'!$F$7),aika3,4))*(VLOOKUP(MONTH('Virkamies 3'!$F$7),aika3,2)),2)</f>
        <v>0</v>
      </c>
      <c r="F61" s="57"/>
      <c r="G61" s="57"/>
      <c r="H61" s="57"/>
      <c r="I61" s="57"/>
    </row>
    <row r="62" spans="1:9">
      <c r="A62" s="57" t="s">
        <v>131</v>
      </c>
      <c r="B62" s="57"/>
      <c r="C62" s="62">
        <f>'Virkamies 3'!$F$13*12*VLOOKUP($D$40,IF(YEAR($F$6)=vuosi,'poa2024'!$B$5:$C$57,IF(YEAR($F$6)=vuosi1,perusturva1,perusturva2)),2)</f>
        <v>0</v>
      </c>
      <c r="D62" s="62">
        <f>C62*(1+0.031*((IF(DAY('Virkamies 3'!$F$8)=31,DAYS360('Virkamies 3'!$F$6,'Virkamies 3'!$F$8,TRUE)-1,DAYS360('Virkamies 3'!$F$6,'Virkamies 3'!$F$8,TRUE)))/360))</f>
        <v>0</v>
      </c>
      <c r="E62" s="62">
        <f>SUM(E59:E61)</f>
        <v>0</v>
      </c>
      <c r="F62" s="25"/>
      <c r="G62" s="57"/>
      <c r="H62" s="57"/>
      <c r="I62" s="57"/>
    </row>
    <row r="63" spans="1:9">
      <c r="A63" s="57"/>
      <c r="B63" s="57"/>
      <c r="C63" s="62"/>
      <c r="D63" s="62"/>
      <c r="E63" s="62"/>
      <c r="F63" s="57"/>
      <c r="G63" s="57"/>
      <c r="H63" s="57"/>
      <c r="I63" s="57"/>
    </row>
    <row r="64" spans="1:9">
      <c r="A64" s="5" t="s">
        <v>133</v>
      </c>
      <c r="B64" s="57"/>
      <c r="C64" s="62"/>
      <c r="D64" s="57"/>
      <c r="E64" s="57"/>
      <c r="F64" s="57"/>
      <c r="G64" s="57"/>
      <c r="H64" s="57"/>
      <c r="I64" s="57"/>
    </row>
    <row r="65" spans="1:11">
      <c r="A65" s="5"/>
      <c r="B65" s="57"/>
      <c r="C65" s="58" t="s">
        <v>122</v>
      </c>
      <c r="D65" s="58" t="s">
        <v>122</v>
      </c>
      <c r="E65" s="58" t="s">
        <v>122</v>
      </c>
      <c r="F65" s="57"/>
      <c r="G65" s="58" t="s">
        <v>123</v>
      </c>
      <c r="H65" s="57"/>
      <c r="I65" s="57"/>
      <c r="J65" s="57"/>
      <c r="K65" s="57"/>
    </row>
    <row r="66" spans="1:11">
      <c r="A66" s="5"/>
      <c r="B66" s="57"/>
      <c r="C66" s="79">
        <f>'Virkamies 3'!F$6</f>
        <v>0</v>
      </c>
      <c r="D66" s="79">
        <f>'Virkamies 3'!F$8</f>
        <v>0</v>
      </c>
      <c r="E66" s="76" t="str">
        <f>$D$41</f>
        <v>1.7.2024</v>
      </c>
      <c r="F66" s="57"/>
      <c r="G66" s="58" t="s">
        <v>134</v>
      </c>
      <c r="H66" s="57"/>
      <c r="I66" s="57"/>
      <c r="J66" s="57"/>
      <c r="K66" s="57"/>
    </row>
    <row r="67" spans="1:11">
      <c r="A67" s="80" t="s">
        <v>126</v>
      </c>
      <c r="B67" s="57"/>
      <c r="C67" s="62">
        <f>C70-C69-C68</f>
        <v>0</v>
      </c>
      <c r="D67" s="62">
        <f>D70-D69-D68</f>
        <v>0</v>
      </c>
      <c r="E67" s="11">
        <f>ROUND(D67*(VLOOKUP(MONTH('Virkamies 3'!$F$7),aikaYEL3,4))*(VLOOKUP(MONTH('Virkamies 3'!$F$7),aikaYEL3,2)),2)</f>
        <v>0</v>
      </c>
      <c r="F67" s="57"/>
      <c r="G67" s="58" t="s">
        <v>135</v>
      </c>
      <c r="H67" s="57"/>
      <c r="I67" s="57"/>
      <c r="J67" s="57"/>
      <c r="K67" s="57"/>
    </row>
    <row r="68" spans="1:11">
      <c r="A68" s="80" t="s">
        <v>129</v>
      </c>
      <c r="B68" s="57"/>
      <c r="C68" s="62">
        <f>'Virkamies 3'!$F$15*12*VLOOKUP($D$40,IF(YEAR($F$6)=vuosi,'poa2024'!$F$5:$I$57,IF(YEAR($F$6)=vuosi1,vastuunjako1,vastuunjako2)),3)</f>
        <v>0</v>
      </c>
      <c r="D68" s="62">
        <f>C68*(1+0.031*((IF(DAY('Virkamies 3'!$F$8)=31,DAYS360('Virkamies 3'!$F$6,'Virkamies 3'!$F$8,TRUE)-1,DAYS360('Virkamies 3'!$F$6,'Virkamies 3'!$F$8,TRUE)))/360))</f>
        <v>0</v>
      </c>
      <c r="E68" s="81">
        <f>ROUND(D68*(VLOOKUP(MONTH('Virkamies 3'!$F$7),aikaYEL3,4))*(VLOOKUP(MONTH('Virkamies 3'!$F$7),aikaYEL3,2)),2)</f>
        <v>0</v>
      </c>
      <c r="F68" s="57"/>
      <c r="G68" s="62">
        <f>E68</f>
        <v>0</v>
      </c>
      <c r="H68" s="57"/>
      <c r="I68" s="57"/>
      <c r="J68" s="57"/>
      <c r="K68" s="57"/>
    </row>
    <row r="69" spans="1:11">
      <c r="A69" s="82" t="s">
        <v>130</v>
      </c>
      <c r="B69" s="83"/>
      <c r="C69" s="84">
        <f>'Virkamies 3'!$F$15*12*VLOOKUP($D$40,IF(YEAR($F$6)=vuosi,'poa2024'!$F$5:$I$57,IF(YEAR($F$6)=vuosi1,vastuunjako1,vastuunjako2)),4)</f>
        <v>0</v>
      </c>
      <c r="D69" s="84">
        <f>C69*(1+0.031*((IF(DAY('Virkamies 3'!$F$8)=31,DAYS360('Virkamies 3'!$F$6,'Virkamies 3'!$F$8,TRUE)-1,DAYS360('Virkamies 3'!$F$6,'Virkamies 3'!$F$8,TRUE)))/360))</f>
        <v>0</v>
      </c>
      <c r="E69" s="85">
        <f>ROUND(D69*(VLOOKUP(MONTH('Virkamies 3'!$F$7),aikaYEL3,4))*(VLOOKUP(MONTH('Virkamies 3'!$F$7),aikaYEL3,2)),2)</f>
        <v>0</v>
      </c>
      <c r="F69" s="57"/>
      <c r="G69" s="84">
        <f>E69</f>
        <v>0</v>
      </c>
      <c r="H69" s="57"/>
      <c r="I69" s="57"/>
      <c r="J69" s="57"/>
      <c r="K69" s="57"/>
    </row>
    <row r="70" spans="1:11">
      <c r="A70" s="57" t="s">
        <v>131</v>
      </c>
      <c r="B70" s="57"/>
      <c r="C70" s="62">
        <f>'Virkamies 3'!$F$15*12*VLOOKUP($D$40,IF(YEAR($F$6)=vuosi,'poa2024'!$B$5:$C$57,IF(YEAR($F$6)=vuosi1,perusturva1,perusturva2)),2)</f>
        <v>0</v>
      </c>
      <c r="D70" s="62">
        <f>C70*(1+0.031*((IF(DAY('Virkamies 3'!$F$8)=31,DAYS360('Virkamies 3'!$F$6,'Virkamies 3'!$F$8,TRUE)-1,DAYS360('Virkamies 3'!$F$6,'Virkamies 3'!$F$8,TRUE)))/360))</f>
        <v>0</v>
      </c>
      <c r="E70" s="62">
        <f>SUM(E67:E69)</f>
        <v>0</v>
      </c>
      <c r="F70" s="25"/>
      <c r="G70" s="19">
        <f>SUM(G68:G69)</f>
        <v>0</v>
      </c>
      <c r="H70" s="57"/>
      <c r="I70" s="57"/>
      <c r="J70" s="57"/>
      <c r="K70" s="57"/>
    </row>
    <row r="71" spans="1:11">
      <c r="A71" s="57"/>
      <c r="B71" s="57"/>
      <c r="C71" s="80"/>
      <c r="D71" s="57"/>
      <c r="E71" s="57"/>
      <c r="F71" s="57"/>
      <c r="G71" s="58"/>
      <c r="H71" s="57"/>
      <c r="I71" s="57"/>
      <c r="J71" s="57"/>
      <c r="K71" s="57"/>
    </row>
    <row r="72" spans="1:11">
      <c r="A72" s="5" t="s">
        <v>136</v>
      </c>
      <c r="B72" s="57"/>
      <c r="C72" s="62"/>
      <c r="D72" s="57"/>
      <c r="E72" s="57"/>
      <c r="F72" s="57"/>
      <c r="G72" s="58"/>
      <c r="H72" s="57"/>
      <c r="I72" s="57"/>
      <c r="J72" s="57"/>
      <c r="K72" s="57"/>
    </row>
    <row r="73" spans="1:11">
      <c r="A73" s="5"/>
      <c r="B73" s="57"/>
      <c r="C73" s="58" t="s">
        <v>122</v>
      </c>
      <c r="D73" s="58" t="s">
        <v>122</v>
      </c>
      <c r="E73" s="58" t="s">
        <v>122</v>
      </c>
      <c r="F73" s="57"/>
      <c r="G73" s="58"/>
      <c r="H73" s="57"/>
      <c r="I73" s="57"/>
      <c r="J73" s="57"/>
      <c r="K73" s="57"/>
    </row>
    <row r="74" spans="1:11">
      <c r="A74" s="5"/>
      <c r="B74" s="57"/>
      <c r="C74" s="79">
        <f>'Virkamies 3'!F$6</f>
        <v>0</v>
      </c>
      <c r="D74" s="79">
        <f>'Virkamies 3'!F$8</f>
        <v>0</v>
      </c>
      <c r="E74" s="76" t="str">
        <f>$D$41</f>
        <v>1.7.2024</v>
      </c>
      <c r="F74" s="57"/>
      <c r="G74" s="58"/>
      <c r="H74" s="57"/>
      <c r="I74" s="57"/>
      <c r="J74" s="57"/>
      <c r="K74" s="57"/>
    </row>
    <row r="75" spans="1:11">
      <c r="A75" s="80" t="s">
        <v>126</v>
      </c>
      <c r="B75" s="57"/>
      <c r="C75" s="62">
        <f>C78-C77-C76</f>
        <v>0</v>
      </c>
      <c r="D75" s="62">
        <f>D78-D77-D76</f>
        <v>0</v>
      </c>
      <c r="E75" s="11">
        <f>ROUND(D75*(VLOOKUP(MONTH('Virkamies 3'!$F$7),aika3,4))*(VLOOKUP(MONTH('Virkamies 3'!$F$7),aika3,2)),2)</f>
        <v>0</v>
      </c>
      <c r="F75" s="57"/>
      <c r="G75" s="58"/>
      <c r="H75" s="57"/>
      <c r="I75" s="57"/>
      <c r="J75" s="57"/>
      <c r="K75" s="57"/>
    </row>
    <row r="76" spans="1:11">
      <c r="A76" s="80" t="s">
        <v>129</v>
      </c>
      <c r="B76" s="57"/>
      <c r="C76" s="62">
        <f>'Virkamies 3'!$F$16*12*VLOOKUP($D$40,IF(YEAR($F$6)=vuosi,'poa2024'!$F$5:$I$57,IF(YEAR($F$6)=vuosi1,vastuunjako1,vastuunjako2)),3)</f>
        <v>0</v>
      </c>
      <c r="D76" s="62">
        <f>C76*(1+0.031*((IF(DAY('Virkamies 3'!$F$8)=31,DAYS360('Virkamies 3'!$F$6,'Virkamies 3'!$F$8,TRUE)-1,DAYS360('Virkamies 3'!$F$6,'Virkamies 3'!$F$8,TRUE)))/360))</f>
        <v>0</v>
      </c>
      <c r="E76" s="11">
        <f>ROUND(D76*(VLOOKUP(MONTH('Virkamies 3'!$F$7),aika3,4))*(VLOOKUP(MONTH('Virkamies 3'!$F$7),aika3,2)),2)</f>
        <v>0</v>
      </c>
      <c r="F76" s="57"/>
      <c r="G76" s="58"/>
      <c r="H76" s="57"/>
      <c r="I76" s="57"/>
      <c r="J76" s="57"/>
      <c r="K76" s="57"/>
    </row>
    <row r="77" spans="1:11">
      <c r="A77" s="82" t="s">
        <v>130</v>
      </c>
      <c r="B77" s="83"/>
      <c r="C77" s="84">
        <f>'Virkamies 3'!$F$16*12*VLOOKUP($D$40,IF(YEAR($F$6)=vuosi,'poa2024'!$F$5:$I$57,IF(YEAR($F$6)=vuosi1,vastuunjako1,vastuunjako2)),4)</f>
        <v>0</v>
      </c>
      <c r="D77" s="84">
        <f>C77*(1+0.031*((IF(DAY('Virkamies 3'!$F$8)=31,DAYS360('Virkamies 3'!$F$6,'Virkamies 3'!$F$8,TRUE)-1,DAYS360('Virkamies 3'!$F$6,'Virkamies 3'!$F$8,TRUE)))/360))</f>
        <v>0</v>
      </c>
      <c r="E77" s="48">
        <f>ROUND(D77*(VLOOKUP(MONTH('Virkamies 3'!$F$7),aika3,4))*(VLOOKUP(MONTH('Virkamies 3'!$F$7),aika3,2)),2)</f>
        <v>0</v>
      </c>
      <c r="F77" s="57"/>
      <c r="G77" s="58"/>
      <c r="H77" s="57"/>
      <c r="I77" s="57"/>
      <c r="J77" s="57"/>
      <c r="K77" s="57"/>
    </row>
    <row r="78" spans="1:11">
      <c r="A78" s="57" t="s">
        <v>131</v>
      </c>
      <c r="B78" s="57"/>
      <c r="C78" s="62">
        <f>'Virkamies 3'!$F$16*12*VLOOKUP($D$40,IF(YEAR($F$6)=vuosi,'poa2024'!$B$5:$C$57,IF(YEAR($F$6)=vuosi1,perusturva1,perusturva2)),2)</f>
        <v>0</v>
      </c>
      <c r="D78" s="62">
        <f>C78*(1+0.031*((IF(DAY('Virkamies 3'!$F$8)=31,DAYS360('Virkamies 3'!$F$6,'Virkamies 3'!$F$8,TRUE)-1,DAYS360('Virkamies 3'!$F$6,'Virkamies 3'!$F$8,TRUE)))/360))</f>
        <v>0</v>
      </c>
      <c r="E78" s="62">
        <f>SUM(E75:E77)</f>
        <v>0</v>
      </c>
      <c r="F78" s="25"/>
      <c r="G78" s="58"/>
      <c r="H78" s="86" t="s">
        <v>137</v>
      </c>
      <c r="I78" s="57" t="s">
        <v>138</v>
      </c>
      <c r="J78" s="57"/>
      <c r="K78" s="57"/>
    </row>
    <row r="79" spans="1:11">
      <c r="A79" s="57"/>
      <c r="B79" s="57"/>
      <c r="C79" s="62"/>
      <c r="D79" s="62"/>
      <c r="E79" s="62"/>
      <c r="F79" s="57"/>
      <c r="G79" s="58"/>
      <c r="H79" s="58"/>
      <c r="I79" s="57" t="s">
        <v>139</v>
      </c>
      <c r="J79" s="57"/>
      <c r="K79" s="57"/>
    </row>
    <row r="80" spans="1:11">
      <c r="A80" s="5" t="s">
        <v>145</v>
      </c>
      <c r="B80" s="57"/>
      <c r="C80" s="62">
        <f>'Virkamies 3'!$F$21*12*VLOOKUP($D$40,IF(YEAR($F$6)=vuosi,'poa2024'!$B$62:$E$114,IF(YEAR($F$6)=vuosi1,lisäturva1,lisäturva2)),2)+'Virkamies 3'!$F$22*12*VLOOKUP($D$40,IF(YEAR($F$6)=vuosi,'poa2024'!$B$62:$E$114,IF(YEAR($F$6)=vuosi1,lisäturva1,lisäturva2)),IF('Virkamies 3'!$F$23="LL",3,4))</f>
        <v>0</v>
      </c>
      <c r="D80" s="62">
        <f>C80*(1+0.031*((IF(DAY('Virkamies 3'!$F$8)=31,DAYS360('Virkamies 3'!$F$6,'Virkamies 3'!$F$8,TRUE)-1,DAYS360('Virkamies 3'!$F$6,'Virkamies 3'!$F$8,TRUE)))/360))</f>
        <v>0</v>
      </c>
      <c r="E80" s="11">
        <f>ROUND(D80*(VLOOKUP(MONTH('Virkamies 3'!$F$7),aika3,4))*(VLOOKUP(MONTH('Virkamies 3'!$F$7),aika3,2)),2)</f>
        <v>0</v>
      </c>
      <c r="F80" s="58"/>
      <c r="G80" s="86">
        <f>MAX(0,H80)</f>
        <v>0</v>
      </c>
      <c r="H80" s="62">
        <f>E80-F30-F31-F32-F33-F34-F35</f>
        <v>0</v>
      </c>
      <c r="I80" s="62">
        <f>MIN(E80,0)</f>
        <v>0</v>
      </c>
      <c r="J80" s="57"/>
      <c r="K80" s="57"/>
    </row>
    <row r="81" spans="1:11">
      <c r="A81" s="80"/>
      <c r="B81" s="57"/>
      <c r="C81" s="62"/>
      <c r="D81" s="57"/>
      <c r="E81" s="57"/>
      <c r="F81" s="57"/>
      <c r="G81" s="57"/>
      <c r="H81" s="57"/>
      <c r="I81" s="57"/>
      <c r="J81" s="57"/>
      <c r="K81" s="57"/>
    </row>
    <row r="82" spans="1:11">
      <c r="A82" s="5" t="s">
        <v>146</v>
      </c>
      <c r="B82" s="57"/>
      <c r="C82" s="62">
        <f>'Virkamies 3'!$F$24*12*VLOOKUP($D$40,IF(YEAR($F$6)=vuosi,'poa2024'!$B$62:$E$114,IF(YEAR($F$6)=vuosi1,lisäturva1,lisäturva2)),2)+'Virkamies 3'!$F$25*12*VLOOKUP($D$40,IF(YEAR($F$6)=vuosi,'poa2024'!$B$62:$E$114,IF(YEAR($F$6)=vuosi1,lisäturva1,lisäturva2)),IF('Virkamies 3'!$F$26="LL",3,4))</f>
        <v>0</v>
      </c>
      <c r="D82" s="62">
        <f>C82*(1+0.031*((IF(DAY('Virkamies 3'!$F$8)=31,DAYS360('Virkamies 3'!$F$6,'Virkamies 3'!$F$8,TRUE)-1,DAYS360('Virkamies 3'!$F$6,'Virkamies 3'!$F$8,TRUE)))/360))</f>
        <v>0</v>
      </c>
      <c r="E82" s="11">
        <f>ROUND(D82*(VLOOKUP(MONTH('Virkamies 3'!$F$7),aikaYEL3,4))*(VLOOKUP(MONTH('Virkamies 3'!$F$7),aikaYEL3,2)),2)</f>
        <v>0</v>
      </c>
      <c r="F82" s="57"/>
      <c r="G82" s="86"/>
      <c r="H82" s="57"/>
      <c r="I82" s="57"/>
      <c r="J82" s="57"/>
      <c r="K82" s="57"/>
    </row>
    <row r="83" spans="1:11">
      <c r="A83" s="57"/>
      <c r="B83" s="57"/>
      <c r="C83" s="62"/>
      <c r="D83" s="62"/>
      <c r="E83" s="57"/>
      <c r="F83" s="25"/>
      <c r="G83" s="62"/>
      <c r="H83" s="57"/>
      <c r="I83" s="57"/>
      <c r="J83" s="57"/>
      <c r="K83" s="57"/>
    </row>
    <row r="84" spans="1:11">
      <c r="A84" s="5" t="s">
        <v>142</v>
      </c>
      <c r="B84" s="57"/>
      <c r="C84" s="62">
        <f>'Virkamies 3'!$F$17*12*VLOOKUP($D$40,IF(YEAR($F$6)=vuosi,'poa2024'!$B$5:$C$57,IF(YEAR($F$6)=vuosi1,perusturva1,perusturva2)),2)</f>
        <v>0</v>
      </c>
      <c r="D84" s="62">
        <f>ROUND(C84*(1+0.031*((DAYS360($F$6,$F$8))/360)),2)</f>
        <v>0</v>
      </c>
      <c r="E84" s="11">
        <f>ROUND(D84*(VLOOKUP(MONTH('Virkamies 3'!$F$7),aika3,4))*(VLOOKUP(MONTH('Virkamies 3'!$F$7),aika3,2)),2)</f>
        <v>0</v>
      </c>
      <c r="F84" s="25"/>
      <c r="G84" s="62"/>
      <c r="H84" s="57"/>
      <c r="I84" s="62"/>
      <c r="J84" s="57"/>
      <c r="K84" s="57"/>
    </row>
    <row r="85" spans="1:11">
      <c r="A85" s="57"/>
      <c r="B85" s="57"/>
      <c r="C85" s="62"/>
      <c r="D85" s="62"/>
      <c r="E85" s="62"/>
      <c r="F85" s="62"/>
      <c r="G85" s="62"/>
      <c r="H85" s="57"/>
      <c r="I85" s="62"/>
      <c r="J85" s="57"/>
      <c r="K85" s="57"/>
    </row>
    <row r="86" spans="1:11">
      <c r="A86" s="5" t="s">
        <v>131</v>
      </c>
      <c r="B86" s="57"/>
      <c r="C86" s="62">
        <f>ROUND(C54+C62+C70+C78+C80+C82+C84,2)</f>
        <v>0</v>
      </c>
      <c r="D86" s="62">
        <f>ROUND(D54+D62+D70+D78+D80+D82+D84,2)</f>
        <v>0</v>
      </c>
      <c r="E86" s="62">
        <f>ROUND(E54+E62+E70+E78+E80+E82+E84,2)</f>
        <v>0</v>
      </c>
      <c r="F86" s="26"/>
      <c r="G86" s="62"/>
      <c r="H86" s="57"/>
      <c r="I86" s="62"/>
      <c r="J86" s="57"/>
      <c r="K86" s="57"/>
    </row>
    <row r="87" spans="1:11">
      <c r="A87" s="57"/>
      <c r="B87" s="57"/>
      <c r="C87" s="57"/>
      <c r="D87" s="57"/>
      <c r="E87" s="62"/>
      <c r="F87" s="57"/>
      <c r="G87" s="57"/>
      <c r="H87" s="57"/>
      <c r="I87" s="62"/>
      <c r="J87" s="57"/>
      <c r="K87" s="57"/>
    </row>
    <row r="88" spans="1:11">
      <c r="A88" s="57"/>
      <c r="B88" s="80"/>
      <c r="C88" s="57"/>
      <c r="D88" s="57"/>
      <c r="E88" s="27"/>
      <c r="F88" s="26"/>
      <c r="G88" s="57"/>
      <c r="H88" s="57"/>
      <c r="I88" s="57"/>
      <c r="J88" s="57"/>
      <c r="K88" s="57"/>
    </row>
    <row r="89" spans="1:11">
      <c r="A89" s="57"/>
      <c r="B89" s="80"/>
      <c r="C89" s="57"/>
      <c r="D89" s="57"/>
      <c r="E89" s="62"/>
      <c r="F89" s="57"/>
      <c r="G89" s="57"/>
      <c r="H89" s="57"/>
      <c r="I89" s="57"/>
      <c r="J89" s="57"/>
      <c r="K89" s="57"/>
    </row>
    <row r="90" spans="1:1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8eed30-88ea-4b77-879b-0d8955af20b8" xsi:nil="true"/>
    <lcf76f155ced4ddcb4097134ff3c332f xmlns="17000b28-6ce4-40c5-ac79-5466d7aaeff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C792F7F1555B4428F7DBDE5A96B90F6" ma:contentTypeVersion="17" ma:contentTypeDescription="Luo uusi asiakirja." ma:contentTypeScope="" ma:versionID="28d930c46e88c6212b605b351fdc5401">
  <xsd:schema xmlns:xsd="http://www.w3.org/2001/XMLSchema" xmlns:xs="http://www.w3.org/2001/XMLSchema" xmlns:p="http://schemas.microsoft.com/office/2006/metadata/properties" xmlns:ns2="17000b28-6ce4-40c5-ac79-5466d7aaefff" xmlns:ns3="e08eed30-88ea-4b77-879b-0d8955af20b8" targetNamespace="http://schemas.microsoft.com/office/2006/metadata/properties" ma:root="true" ma:fieldsID="619f1060d0059ee5f8c40de47edc477d" ns2:_="" ns3:_="">
    <xsd:import namespace="17000b28-6ce4-40c5-ac79-5466d7aaefff"/>
    <xsd:import namespace="e08eed30-88ea-4b77-879b-0d8955af20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00b28-6ce4-40c5-ac79-5466d7aae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ed30-88ea-4b77-879b-0d8955af20b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1b83ba5-5ae0-4bad-8c4a-e0c3d3e28155}" ma:internalName="TaxCatchAll" ma:showField="CatchAllData" ma:web="e08eed30-88ea-4b77-879b-0d8955af2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33F66D-98B6-4D46-B967-6EA6A1B7EF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C2222A-AA9F-4DC9-B6EF-A5A6585DBF8C}">
  <ds:schemaRefs>
    <ds:schemaRef ds:uri="http://schemas.microsoft.com/office/2006/metadata/properties"/>
    <ds:schemaRef ds:uri="http://schemas.microsoft.com/office/infopath/2007/PartnerControls"/>
    <ds:schemaRef ds:uri="e08eed30-88ea-4b77-879b-0d8955af20b8"/>
    <ds:schemaRef ds:uri="17000b28-6ce4-40c5-ac79-5466d7aaefff"/>
  </ds:schemaRefs>
</ds:datastoreItem>
</file>

<file path=customXml/itemProps3.xml><?xml version="1.0" encoding="utf-8"?>
<ds:datastoreItem xmlns:ds="http://schemas.openxmlformats.org/officeDocument/2006/customXml" ds:itemID="{4B3D60FB-24B2-476F-9DE9-BD6923847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00b28-6ce4-40c5-ac79-5466d7aaefff"/>
    <ds:schemaRef ds:uri="e08eed30-88ea-4b77-879b-0d8955af2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16</vt:i4>
      </vt:variant>
      <vt:variant>
        <vt:lpstr>Nimetyt alueet</vt:lpstr>
      </vt:variant>
      <vt:variant>
        <vt:i4>30</vt:i4>
      </vt:variant>
    </vt:vector>
  </HeadingPairs>
  <TitlesOfParts>
    <vt:vector size="46" baseType="lpstr">
      <vt:lpstr>Ohje</vt:lpstr>
      <vt:lpstr>KJ-vuosi</vt:lpstr>
      <vt:lpstr>Emenotiedosto</vt:lpstr>
      <vt:lpstr>poa2024</vt:lpstr>
      <vt:lpstr>poa2023</vt:lpstr>
      <vt:lpstr>poa2022</vt:lpstr>
      <vt:lpstr>Virkamies 1</vt:lpstr>
      <vt:lpstr>Virkamies 2</vt:lpstr>
      <vt:lpstr>Virkamies 3</vt:lpstr>
      <vt:lpstr>Virkamies 4</vt:lpstr>
      <vt:lpstr>Virkamies 5</vt:lpstr>
      <vt:lpstr>Virkamies 6</vt:lpstr>
      <vt:lpstr>Virkamies 7</vt:lpstr>
      <vt:lpstr>Virkamies 8</vt:lpstr>
      <vt:lpstr>Virkamies 9</vt:lpstr>
      <vt:lpstr>Virkamies 10</vt:lpstr>
      <vt:lpstr>aika1</vt:lpstr>
      <vt:lpstr>aika10</vt:lpstr>
      <vt:lpstr>aika2</vt:lpstr>
      <vt:lpstr>aika3</vt:lpstr>
      <vt:lpstr>aika4</vt:lpstr>
      <vt:lpstr>aika5</vt:lpstr>
      <vt:lpstr>aika6</vt:lpstr>
      <vt:lpstr>aika7</vt:lpstr>
      <vt:lpstr>aika8</vt:lpstr>
      <vt:lpstr>aika9</vt:lpstr>
      <vt:lpstr>aikaYEL1</vt:lpstr>
      <vt:lpstr>aikaYEL10</vt:lpstr>
      <vt:lpstr>aikaYEL2</vt:lpstr>
      <vt:lpstr>aikaYEL3</vt:lpstr>
      <vt:lpstr>aikaYEL4</vt:lpstr>
      <vt:lpstr>aikaYEL5</vt:lpstr>
      <vt:lpstr>aikaYEL6</vt:lpstr>
      <vt:lpstr>aikaYEL7</vt:lpstr>
      <vt:lpstr>aikaYEL8</vt:lpstr>
      <vt:lpstr>aikaYEL9</vt:lpstr>
      <vt:lpstr>lisäturva1</vt:lpstr>
      <vt:lpstr>lisäturva2</vt:lpstr>
      <vt:lpstr>perusturva1</vt:lpstr>
      <vt:lpstr>perusturva2</vt:lpstr>
      <vt:lpstr>'Virkamies 1'!Tulostusalue</vt:lpstr>
      <vt:lpstr>vastuunjako1</vt:lpstr>
      <vt:lpstr>vastuunjako2</vt:lpstr>
      <vt:lpstr>vuosi</vt:lpstr>
      <vt:lpstr>vuosi1</vt:lpstr>
      <vt:lpstr>vuosi2</vt:lpstr>
    </vt:vector>
  </TitlesOfParts>
  <Manager/>
  <Company>ETK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Tiina Laurila</dc:creator>
  <cp:keywords/>
  <dc:description/>
  <cp:lastModifiedBy>Laitinen Anne</cp:lastModifiedBy>
  <cp:revision/>
  <dcterms:created xsi:type="dcterms:W3CDTF">2000-07-26T07:17:20Z</dcterms:created>
  <dcterms:modified xsi:type="dcterms:W3CDTF">2025-01-21T09:26:16Z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0x0101006C792F7F1555B4428F7DBDE5A96B90F6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